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AKYTGUL\Users\Public\Documents\2019 год\Тарификация на 01.09.2019\"/>
    </mc:Choice>
  </mc:AlternateContent>
  <bookViews>
    <workbookView xWindow="0" yWindow="60" windowWidth="19440" windowHeight="7095" tabRatio="692" activeTab="1"/>
  </bookViews>
  <sheets>
    <sheet name="прилож к респуб 2019" sheetId="8" r:id="rId1"/>
    <sheet name="учит 2019" sheetId="21" r:id="rId2"/>
    <sheet name="воспитатель 2019" sheetId="24" r:id="rId3"/>
    <sheet name="АХЧ" sheetId="26" r:id="rId4"/>
    <sheet name="прилож 2019" sheetId="23" r:id="rId5"/>
  </sheets>
  <definedNames>
    <definedName name="_xlnm.Print_Titles" localSheetId="3">АХЧ!$A:$A,АХЧ!$10:$11</definedName>
    <definedName name="_xlnm.Print_Titles" localSheetId="2">'воспитатель 2019'!$A:$A,'воспитатель 2019'!$8:$9</definedName>
    <definedName name="_xlnm.Print_Titles" localSheetId="4">'прилож 2019'!$A:$B,'прилож 2019'!$3:$4</definedName>
    <definedName name="_xlnm.Print_Titles" localSheetId="1">'учит 2019'!$A:$A,'учит 2019'!$15:$17</definedName>
    <definedName name="_xlnm.Print_Area" localSheetId="3">АХЧ!$A$1:$AH$74</definedName>
    <definedName name="_xlnm.Print_Area" localSheetId="2">'воспитатель 2019'!$A$1:$AC$44</definedName>
    <definedName name="_xlnm.Print_Area" localSheetId="4">'прилож 2019'!$A$1:$AE$54</definedName>
    <definedName name="_xlnm.Print_Area" localSheetId="0">'прилож к респуб 2019'!$A$1:$T$27</definedName>
    <definedName name="_xlnm.Print_Area" localSheetId="1">'учит 2019'!$A$1:$AZ$72</definedName>
  </definedNames>
  <calcPr calcId="152511" refMode="R1C1"/>
  <customWorkbookViews>
    <customWorkbookView name="321 - Личное представление" guid="{04A8CA6F-AD9A-4D5D-9C23-0ABC34EDB569}" mergeInterval="0" personalView="1" maximized="1" windowWidth="1020" windowHeight="569" activeSheetId="4"/>
  </customWorkbookViews>
</workbook>
</file>

<file path=xl/calcChain.xml><?xml version="1.0" encoding="utf-8"?>
<calcChain xmlns="http://schemas.openxmlformats.org/spreadsheetml/2006/main">
  <c r="AC33" i="24" l="1"/>
  <c r="AZ63" i="21"/>
  <c r="AH66" i="26"/>
  <c r="AE38" i="23" l="1"/>
  <c r="AY53" i="21"/>
  <c r="AY19" i="21"/>
  <c r="AG29" i="26"/>
  <c r="AY62" i="21"/>
  <c r="AY61" i="21"/>
  <c r="AY60" i="21"/>
  <c r="AY59" i="21"/>
  <c r="AY58" i="21"/>
  <c r="AY57" i="21"/>
  <c r="AY56" i="21"/>
  <c r="AY55" i="21"/>
  <c r="AY54" i="21"/>
  <c r="AY52" i="21"/>
  <c r="AY51" i="21"/>
  <c r="AY50" i="21"/>
  <c r="AY49" i="21"/>
  <c r="AY48" i="21"/>
  <c r="AY47" i="21"/>
  <c r="AY46" i="21"/>
  <c r="AY45" i="21"/>
  <c r="AY44" i="21"/>
  <c r="AY43" i="21"/>
  <c r="AY42" i="21"/>
  <c r="AY41" i="21"/>
  <c r="AY40" i="21"/>
  <c r="AY39" i="21"/>
  <c r="AY38" i="21"/>
  <c r="AY37" i="21"/>
  <c r="AY36" i="21"/>
  <c r="AY35" i="21"/>
  <c r="AY34" i="21"/>
  <c r="AY33" i="21"/>
  <c r="AY32" i="21"/>
  <c r="AY31" i="21"/>
  <c r="AY30" i="21"/>
  <c r="AY29" i="21"/>
  <c r="AY28" i="21"/>
  <c r="AY27" i="21"/>
  <c r="AY26" i="21"/>
  <c r="AY25" i="21"/>
  <c r="AY24" i="21"/>
  <c r="AY23" i="21"/>
  <c r="AY22" i="21"/>
  <c r="AY21" i="21"/>
  <c r="AY20" i="21"/>
  <c r="AE42" i="23"/>
  <c r="AE27" i="23"/>
  <c r="AE21" i="23"/>
  <c r="AE11" i="23"/>
  <c r="AE12" i="23"/>
  <c r="AE13" i="23"/>
  <c r="AE14" i="23"/>
  <c r="AE47" i="23" l="1"/>
  <c r="R55" i="21" l="1"/>
  <c r="Q55" i="21"/>
  <c r="P55" i="21"/>
  <c r="AR55" i="21" s="1"/>
  <c r="O55" i="21"/>
  <c r="I55" i="21"/>
  <c r="K55" i="21" s="1"/>
  <c r="V55" i="21" s="1"/>
  <c r="R26" i="21"/>
  <c r="Q26" i="21"/>
  <c r="AS26" i="21" s="1"/>
  <c r="P26" i="21"/>
  <c r="AR26" i="21" s="1"/>
  <c r="O26" i="21"/>
  <c r="I26" i="21"/>
  <c r="K26" i="21" s="1"/>
  <c r="S26" i="21" l="1"/>
  <c r="S55" i="21"/>
  <c r="AS55" i="21"/>
  <c r="T55" i="21"/>
  <c r="U55" i="21"/>
  <c r="Y55" i="21" s="1"/>
  <c r="T26" i="21"/>
  <c r="V26" i="21"/>
  <c r="U26" i="21"/>
  <c r="Y26" i="21" s="1"/>
  <c r="X55" i="21" l="1"/>
  <c r="W55" i="21"/>
  <c r="X26" i="21"/>
  <c r="W26" i="21"/>
  <c r="P29" i="21"/>
  <c r="I29" i="21"/>
  <c r="I30" i="21"/>
  <c r="I31" i="21"/>
  <c r="I32" i="21"/>
  <c r="I33" i="21"/>
  <c r="I34" i="21"/>
  <c r="I35" i="21"/>
  <c r="I36" i="21"/>
  <c r="I37" i="21"/>
  <c r="I38" i="21"/>
  <c r="I39" i="21"/>
  <c r="I40" i="21"/>
  <c r="I41" i="21"/>
  <c r="I42" i="21"/>
  <c r="I43" i="21"/>
  <c r="I44" i="21"/>
  <c r="I45" i="21"/>
  <c r="I46" i="21"/>
  <c r="I47" i="21"/>
  <c r="I48" i="21"/>
  <c r="I49" i="21"/>
  <c r="I50" i="21"/>
  <c r="I51" i="21"/>
  <c r="I52" i="21"/>
  <c r="I53" i="21"/>
  <c r="I54" i="21"/>
  <c r="I56" i="21"/>
  <c r="I57" i="21"/>
  <c r="I58" i="21"/>
  <c r="I59" i="21"/>
  <c r="I60" i="21"/>
  <c r="I61" i="21"/>
  <c r="I62" i="21"/>
  <c r="I21" i="21"/>
  <c r="I22" i="21"/>
  <c r="I23" i="21"/>
  <c r="I24" i="21"/>
  <c r="I25" i="21"/>
  <c r="I27" i="21"/>
  <c r="I28" i="21"/>
  <c r="I20" i="21"/>
  <c r="K42" i="21"/>
  <c r="I19" i="21"/>
  <c r="AZ55" i="21" l="1"/>
  <c r="AZ26" i="21"/>
  <c r="AR29" i="21"/>
  <c r="Z6" i="23" l="1"/>
  <c r="W6" i="23" l="1"/>
  <c r="AE19" i="21" l="1"/>
  <c r="Z63" i="21" l="1"/>
  <c r="AC63" i="21"/>
  <c r="Z7" i="23" l="1"/>
  <c r="Z8" i="23"/>
  <c r="Z9" i="23"/>
  <c r="Z11" i="23"/>
  <c r="Z13" i="23"/>
  <c r="Z18" i="23"/>
  <c r="Z19" i="23"/>
  <c r="Z22" i="23"/>
  <c r="Z23" i="23"/>
  <c r="Z25" i="23"/>
  <c r="Z26" i="23"/>
  <c r="Z43" i="23"/>
  <c r="Z44" i="23"/>
  <c r="Z45" i="23"/>
  <c r="AD31" i="23"/>
  <c r="AD30" i="23"/>
  <c r="AD29" i="23"/>
  <c r="AD28" i="23"/>
  <c r="AG18" i="26"/>
  <c r="AG20" i="26"/>
  <c r="AG22" i="26"/>
  <c r="AG32" i="26"/>
  <c r="AG39" i="26"/>
  <c r="AG41" i="26"/>
  <c r="AG47" i="26"/>
  <c r="N45" i="23"/>
  <c r="N44" i="23"/>
  <c r="N43" i="23"/>
  <c r="N39" i="23"/>
  <c r="N37" i="23"/>
  <c r="N36" i="23"/>
  <c r="N35" i="23"/>
  <c r="N34" i="23"/>
  <c r="N33" i="23"/>
  <c r="N26" i="23"/>
  <c r="N25" i="23"/>
  <c r="N23" i="23"/>
  <c r="N22" i="23"/>
  <c r="N20" i="23"/>
  <c r="N19" i="23"/>
  <c r="N18" i="23"/>
  <c r="N16" i="23"/>
  <c r="N15" i="23"/>
  <c r="N13" i="23"/>
  <c r="N11" i="23"/>
  <c r="N9" i="23"/>
  <c r="N8" i="23"/>
  <c r="N7" i="23"/>
  <c r="N6" i="23"/>
  <c r="O21" i="23"/>
  <c r="P21" i="23"/>
  <c r="S6" i="21"/>
  <c r="S12" i="21"/>
  <c r="S11" i="21"/>
  <c r="S10" i="21"/>
  <c r="S8" i="21"/>
  <c r="S7" i="21"/>
  <c r="N24" i="23" l="1"/>
  <c r="N27" i="23"/>
  <c r="N38" i="23"/>
  <c r="N63" i="26" s="1"/>
  <c r="Z27" i="23"/>
  <c r="Z24" i="23"/>
  <c r="Z21" i="23"/>
  <c r="N46" i="23"/>
  <c r="N10" i="23"/>
  <c r="N42" i="23"/>
  <c r="Z46" i="23"/>
  <c r="Z10" i="23"/>
  <c r="N21" i="23"/>
  <c r="AD32" i="23"/>
  <c r="AG62" i="26" s="1"/>
  <c r="AN54" i="21" l="1"/>
  <c r="AN53" i="21"/>
  <c r="AN50" i="21"/>
  <c r="AN27" i="21"/>
  <c r="AN23" i="21"/>
  <c r="AK22" i="21"/>
  <c r="AJ63" i="21" l="1"/>
  <c r="AI63" i="21"/>
  <c r="L63" i="21"/>
  <c r="M63" i="21"/>
  <c r="N63" i="21"/>
  <c r="W19" i="23"/>
  <c r="W18" i="23"/>
  <c r="W13" i="23"/>
  <c r="W11" i="23"/>
  <c r="W9" i="23"/>
  <c r="W8" i="23"/>
  <c r="W7" i="23"/>
  <c r="X46" i="23"/>
  <c r="U46" i="23"/>
  <c r="G46" i="23"/>
  <c r="G65" i="26" s="1"/>
  <c r="G21" i="23"/>
  <c r="G42" i="23"/>
  <c r="G64" i="26" s="1"/>
  <c r="AA40" i="23"/>
  <c r="AC40" i="23" s="1"/>
  <c r="AD40" i="23" s="1"/>
  <c r="J40" i="23"/>
  <c r="L40" i="23" s="1"/>
  <c r="M40" i="23" s="1"/>
  <c r="G32" i="23"/>
  <c r="J31" i="23"/>
  <c r="L31" i="23" s="1"/>
  <c r="M31" i="23" s="1"/>
  <c r="AE31" i="23" s="1"/>
  <c r="J30" i="23"/>
  <c r="L30" i="23" s="1"/>
  <c r="M30" i="23" s="1"/>
  <c r="AE30" i="23" s="1"/>
  <c r="W10" i="23" l="1"/>
  <c r="W21" i="23"/>
  <c r="AE40" i="23"/>
  <c r="R39" i="21"/>
  <c r="Q39" i="21"/>
  <c r="AS39" i="21" s="1"/>
  <c r="P39" i="21"/>
  <c r="O39" i="21"/>
  <c r="K39" i="21"/>
  <c r="AE49" i="21"/>
  <c r="AB49" i="21"/>
  <c r="AB40" i="21"/>
  <c r="AB46" i="21"/>
  <c r="AB20" i="21"/>
  <c r="AB24" i="21"/>
  <c r="S39" i="21" l="1"/>
  <c r="AR39" i="21"/>
  <c r="U39" i="21"/>
  <c r="Y39" i="21" s="1"/>
  <c r="V39" i="21"/>
  <c r="T39" i="21"/>
  <c r="X39" i="21" s="1"/>
  <c r="AK24" i="21"/>
  <c r="AK40" i="21"/>
  <c r="AK46" i="21"/>
  <c r="AK44" i="21"/>
  <c r="AK41" i="21"/>
  <c r="AK29" i="21"/>
  <c r="AK20" i="21"/>
  <c r="AK63" i="21" s="1"/>
  <c r="W39" i="21" l="1"/>
  <c r="X19" i="23"/>
  <c r="X18" i="23"/>
  <c r="X13" i="23"/>
  <c r="X11" i="23"/>
  <c r="U19" i="23"/>
  <c r="U18" i="23"/>
  <c r="U13" i="23"/>
  <c r="U11" i="23"/>
  <c r="J45" i="23"/>
  <c r="J44" i="23"/>
  <c r="J43" i="23"/>
  <c r="J41" i="23"/>
  <c r="J39" i="23"/>
  <c r="J37" i="23"/>
  <c r="J36" i="23"/>
  <c r="J35" i="23"/>
  <c r="J34" i="23"/>
  <c r="J33" i="23"/>
  <c r="J29" i="23"/>
  <c r="J28" i="23"/>
  <c r="J26" i="23"/>
  <c r="J25" i="23"/>
  <c r="J23" i="23"/>
  <c r="J22" i="23"/>
  <c r="J12" i="23"/>
  <c r="J13" i="23"/>
  <c r="J14" i="23"/>
  <c r="J15" i="23"/>
  <c r="J16" i="23"/>
  <c r="J17" i="23"/>
  <c r="J18" i="23"/>
  <c r="J19" i="23"/>
  <c r="J20" i="23"/>
  <c r="J11" i="23"/>
  <c r="J7" i="23"/>
  <c r="J8" i="23"/>
  <c r="J9" i="23"/>
  <c r="J6" i="23"/>
  <c r="X26" i="23"/>
  <c r="X25" i="23"/>
  <c r="X23" i="23"/>
  <c r="X22" i="23"/>
  <c r="X24" i="23" s="1"/>
  <c r="AA60" i="26" s="1"/>
  <c r="AA22" i="23"/>
  <c r="O66" i="26"/>
  <c r="W43" i="26"/>
  <c r="R26" i="26"/>
  <c r="J14" i="26"/>
  <c r="L14" i="26" s="1"/>
  <c r="M14" i="26" s="1"/>
  <c r="N14" i="26" s="1"/>
  <c r="J15" i="26"/>
  <c r="L15" i="26" s="1"/>
  <c r="M15" i="26" s="1"/>
  <c r="N15" i="26" s="1"/>
  <c r="J16" i="26"/>
  <c r="L16" i="26" s="1"/>
  <c r="M16" i="26" s="1"/>
  <c r="N16" i="26" s="1"/>
  <c r="J17" i="26"/>
  <c r="L17" i="26" s="1"/>
  <c r="M17" i="26" s="1"/>
  <c r="N17" i="26" s="1"/>
  <c r="AG17" i="26" s="1"/>
  <c r="AH17" i="26" s="1"/>
  <c r="J19" i="26"/>
  <c r="L19" i="26" s="1"/>
  <c r="M19" i="26" s="1"/>
  <c r="N19" i="26" s="1"/>
  <c r="AG19" i="26" s="1"/>
  <c r="AH19" i="26" s="1"/>
  <c r="J18" i="26"/>
  <c r="L18" i="26" s="1"/>
  <c r="M18" i="26" s="1"/>
  <c r="AH18" i="26" s="1"/>
  <c r="J20" i="26"/>
  <c r="L20" i="26" s="1"/>
  <c r="M20" i="26" s="1"/>
  <c r="AH20" i="26" s="1"/>
  <c r="J23" i="26"/>
  <c r="L23" i="26" s="1"/>
  <c r="M23" i="26" s="1"/>
  <c r="N23" i="26" s="1"/>
  <c r="AG23" i="26" s="1"/>
  <c r="AH23" i="26" s="1"/>
  <c r="J21" i="26"/>
  <c r="L21" i="26" s="1"/>
  <c r="M21" i="26" s="1"/>
  <c r="N21" i="26" s="1"/>
  <c r="AG21" i="26" s="1"/>
  <c r="AH21" i="26" s="1"/>
  <c r="J22" i="26"/>
  <c r="L22" i="26" s="1"/>
  <c r="M22" i="26" s="1"/>
  <c r="AH22" i="26" s="1"/>
  <c r="J24" i="26"/>
  <c r="L24" i="26" s="1"/>
  <c r="M24" i="26" s="1"/>
  <c r="N24" i="26" s="1"/>
  <c r="J25" i="26"/>
  <c r="L25" i="26" s="1"/>
  <c r="M25" i="26" s="1"/>
  <c r="N25" i="26" s="1"/>
  <c r="J26" i="26"/>
  <c r="L26" i="26" s="1"/>
  <c r="M26" i="26" s="1"/>
  <c r="N26" i="26" s="1"/>
  <c r="J27" i="26"/>
  <c r="L27" i="26" s="1"/>
  <c r="M27" i="26" s="1"/>
  <c r="N27" i="26" s="1"/>
  <c r="J28" i="26"/>
  <c r="L28" i="26" s="1"/>
  <c r="M28" i="26" s="1"/>
  <c r="N28" i="26" s="1"/>
  <c r="J29" i="26"/>
  <c r="L29" i="26" s="1"/>
  <c r="M29" i="26" s="1"/>
  <c r="N29" i="26" s="1"/>
  <c r="J30" i="26"/>
  <c r="L30" i="26" s="1"/>
  <c r="M30" i="26" s="1"/>
  <c r="N30" i="26" s="1"/>
  <c r="J31" i="26"/>
  <c r="L31" i="26" s="1"/>
  <c r="M31" i="26" s="1"/>
  <c r="N31" i="26" s="1"/>
  <c r="AG31" i="26" s="1"/>
  <c r="AH31" i="26" s="1"/>
  <c r="J32" i="26"/>
  <c r="L32" i="26" s="1"/>
  <c r="M32" i="26" s="1"/>
  <c r="AH32" i="26" s="1"/>
  <c r="J33" i="26"/>
  <c r="L33" i="26" s="1"/>
  <c r="M33" i="26" s="1"/>
  <c r="N33" i="26" s="1"/>
  <c r="J34" i="26"/>
  <c r="L34" i="26" s="1"/>
  <c r="M34" i="26" s="1"/>
  <c r="N34" i="26" s="1"/>
  <c r="J35" i="26"/>
  <c r="L35" i="26" s="1"/>
  <c r="M35" i="26" s="1"/>
  <c r="N35" i="26" s="1"/>
  <c r="J36" i="26"/>
  <c r="L36" i="26" s="1"/>
  <c r="M36" i="26" s="1"/>
  <c r="N36" i="26" s="1"/>
  <c r="J37" i="26"/>
  <c r="L37" i="26" s="1"/>
  <c r="M37" i="26" s="1"/>
  <c r="N37" i="26" s="1"/>
  <c r="J38" i="26"/>
  <c r="L38" i="26" s="1"/>
  <c r="M38" i="26" s="1"/>
  <c r="N38" i="26" s="1"/>
  <c r="AG38" i="26" s="1"/>
  <c r="AH38" i="26" s="1"/>
  <c r="J41" i="26"/>
  <c r="L41" i="26" s="1"/>
  <c r="M41" i="26" s="1"/>
  <c r="AH41" i="26" s="1"/>
  <c r="J39" i="26"/>
  <c r="L39" i="26" s="1"/>
  <c r="M39" i="26" s="1"/>
  <c r="AH39" i="26" s="1"/>
  <c r="J40" i="26"/>
  <c r="L40" i="26" s="1"/>
  <c r="M40" i="26" s="1"/>
  <c r="N40" i="26" s="1"/>
  <c r="J42" i="26"/>
  <c r="L42" i="26" s="1"/>
  <c r="M42" i="26" s="1"/>
  <c r="N42" i="26" s="1"/>
  <c r="AG42" i="26" s="1"/>
  <c r="AH42" i="26" s="1"/>
  <c r="J43" i="26"/>
  <c r="L43" i="26" s="1"/>
  <c r="M43" i="26" s="1"/>
  <c r="N43" i="26" s="1"/>
  <c r="J44" i="26"/>
  <c r="L44" i="26" s="1"/>
  <c r="M44" i="26" s="1"/>
  <c r="N44" i="26" s="1"/>
  <c r="J45" i="26"/>
  <c r="L45" i="26" s="1"/>
  <c r="M45" i="26" s="1"/>
  <c r="N45" i="26" s="1"/>
  <c r="AG45" i="26" s="1"/>
  <c r="AH45" i="26" s="1"/>
  <c r="J46" i="26"/>
  <c r="L46" i="26" s="1"/>
  <c r="M46" i="26" s="1"/>
  <c r="N46" i="26" s="1"/>
  <c r="J47" i="26"/>
  <c r="L47" i="26" s="1"/>
  <c r="M47" i="26" s="1"/>
  <c r="AH47" i="26" s="1"/>
  <c r="J48" i="26"/>
  <c r="L48" i="26" s="1"/>
  <c r="M48" i="26" s="1"/>
  <c r="N48" i="26" s="1"/>
  <c r="AG48" i="26" s="1"/>
  <c r="AH48" i="26" s="1"/>
  <c r="J49" i="26"/>
  <c r="L49" i="26" s="1"/>
  <c r="M49" i="26" s="1"/>
  <c r="N49" i="26" s="1"/>
  <c r="AG49" i="26" s="1"/>
  <c r="AH49" i="26" s="1"/>
  <c r="J50" i="26"/>
  <c r="L50" i="26" s="1"/>
  <c r="M50" i="26" s="1"/>
  <c r="N50" i="26" s="1"/>
  <c r="AG50" i="26" s="1"/>
  <c r="AH50" i="26" s="1"/>
  <c r="J51" i="26"/>
  <c r="L51" i="26" s="1"/>
  <c r="M51" i="26" s="1"/>
  <c r="N51" i="26" s="1"/>
  <c r="AG51" i="26" s="1"/>
  <c r="AH51" i="26" s="1"/>
  <c r="J52" i="26"/>
  <c r="L52" i="26" s="1"/>
  <c r="M52" i="26" s="1"/>
  <c r="N52" i="26" s="1"/>
  <c r="AG52" i="26" s="1"/>
  <c r="AH52" i="26" s="1"/>
  <c r="J53" i="26"/>
  <c r="L53" i="26" s="1"/>
  <c r="M53" i="26" s="1"/>
  <c r="N53" i="26" s="1"/>
  <c r="AG53" i="26" s="1"/>
  <c r="AH53" i="26" s="1"/>
  <c r="J54" i="26"/>
  <c r="L54" i="26" s="1"/>
  <c r="M54" i="26" s="1"/>
  <c r="N54" i="26" s="1"/>
  <c r="AG54" i="26" s="1"/>
  <c r="AH54" i="26" s="1"/>
  <c r="J55" i="26"/>
  <c r="L55" i="26" s="1"/>
  <c r="M55" i="26" s="1"/>
  <c r="J56" i="26"/>
  <c r="L56" i="26" s="1"/>
  <c r="M56" i="26" s="1"/>
  <c r="N56" i="26" s="1"/>
  <c r="AG56" i="26" s="1"/>
  <c r="AH56" i="26" s="1"/>
  <c r="J13" i="26"/>
  <c r="X65" i="26"/>
  <c r="J46" i="23" l="1"/>
  <c r="J65" i="26" s="1"/>
  <c r="AZ39" i="21"/>
  <c r="AG43" i="26"/>
  <c r="AH43" i="26" s="1"/>
  <c r="L39" i="23"/>
  <c r="J42" i="23"/>
  <c r="J64" i="26" s="1"/>
  <c r="J32" i="23"/>
  <c r="J62" i="26" s="1"/>
  <c r="U21" i="23"/>
  <c r="X21" i="23"/>
  <c r="L6" i="23"/>
  <c r="J10" i="23"/>
  <c r="J21" i="23"/>
  <c r="J59" i="26" s="1"/>
  <c r="L13" i="26"/>
  <c r="J58" i="26" l="1"/>
  <c r="M6" i="23"/>
  <c r="M39" i="23"/>
  <c r="M13" i="26"/>
  <c r="N13" i="26" s="1"/>
  <c r="I47" i="23"/>
  <c r="AA65" i="26"/>
  <c r="L43" i="23"/>
  <c r="L45" i="23"/>
  <c r="M45" i="23" s="1"/>
  <c r="L44" i="23"/>
  <c r="M44" i="23" s="1"/>
  <c r="K42" i="23"/>
  <c r="AA41" i="23"/>
  <c r="AC41" i="23" s="1"/>
  <c r="AD41" i="23" s="1"/>
  <c r="AA39" i="23"/>
  <c r="N64" i="26"/>
  <c r="Z38" i="23"/>
  <c r="Z47" i="23" s="1"/>
  <c r="Y38" i="23"/>
  <c r="X38" i="23"/>
  <c r="W38" i="23"/>
  <c r="V38" i="23"/>
  <c r="U38" i="23"/>
  <c r="T38" i="23"/>
  <c r="S38" i="23"/>
  <c r="R38" i="23"/>
  <c r="Q38" i="23"/>
  <c r="P38" i="23"/>
  <c r="O38" i="23"/>
  <c r="K38" i="23"/>
  <c r="G38" i="23"/>
  <c r="G63" i="26" s="1"/>
  <c r="AA36" i="23"/>
  <c r="AC36" i="23" s="1"/>
  <c r="AD36" i="23" s="1"/>
  <c r="L36" i="23"/>
  <c r="M36" i="23" s="1"/>
  <c r="AA37" i="23"/>
  <c r="AC37" i="23" s="1"/>
  <c r="AD37" i="23" s="1"/>
  <c r="L37" i="23"/>
  <c r="M37" i="23" s="1"/>
  <c r="AA34" i="23"/>
  <c r="AC34" i="23" s="1"/>
  <c r="AD34" i="23" s="1"/>
  <c r="L34" i="23"/>
  <c r="M34" i="23" s="1"/>
  <c r="AA35" i="23"/>
  <c r="AC35" i="23" s="1"/>
  <c r="AD35" i="23" s="1"/>
  <c r="L35" i="23"/>
  <c r="M35" i="23" s="1"/>
  <c r="AA33" i="23"/>
  <c r="L33" i="23"/>
  <c r="G62" i="26"/>
  <c r="L29" i="23"/>
  <c r="M29" i="23" s="1"/>
  <c r="AE29" i="23" s="1"/>
  <c r="AA27" i="23"/>
  <c r="X27" i="23"/>
  <c r="G27" i="23"/>
  <c r="G61" i="26" s="1"/>
  <c r="AC26" i="23"/>
  <c r="AD26" i="23" s="1"/>
  <c r="L26" i="23"/>
  <c r="M26" i="23" s="1"/>
  <c r="AC25" i="23"/>
  <c r="L25" i="23"/>
  <c r="M25" i="23" s="1"/>
  <c r="AC21" i="23"/>
  <c r="AB21" i="23"/>
  <c r="AA21" i="23"/>
  <c r="AA59" i="26"/>
  <c r="K21" i="23"/>
  <c r="G59" i="26"/>
  <c r="R17" i="23"/>
  <c r="T17" i="23" s="1"/>
  <c r="AD17" i="23" s="1"/>
  <c r="L17" i="23"/>
  <c r="M17" i="23" s="1"/>
  <c r="R16" i="23"/>
  <c r="T16" i="23" s="1"/>
  <c r="AD16" i="23" s="1"/>
  <c r="L16" i="23"/>
  <c r="M16" i="23" s="1"/>
  <c r="R12" i="23"/>
  <c r="T12" i="23" s="1"/>
  <c r="AD12" i="23" s="1"/>
  <c r="L12" i="23"/>
  <c r="M12" i="23" s="1"/>
  <c r="R20" i="23"/>
  <c r="T20" i="23" s="1"/>
  <c r="AD20" i="23" s="1"/>
  <c r="L20" i="23"/>
  <c r="M20" i="23" s="1"/>
  <c r="R14" i="23"/>
  <c r="T14" i="23" s="1"/>
  <c r="AD14" i="23" s="1"/>
  <c r="L14" i="23"/>
  <c r="M14" i="23" s="1"/>
  <c r="R19" i="23"/>
  <c r="T19" i="23" s="1"/>
  <c r="AD19" i="23" s="1"/>
  <c r="L19" i="23"/>
  <c r="M19" i="23" s="1"/>
  <c r="R11" i="23"/>
  <c r="L11" i="23"/>
  <c r="M11" i="23" s="1"/>
  <c r="R13" i="23"/>
  <c r="T13" i="23" s="1"/>
  <c r="AD13" i="23" s="1"/>
  <c r="L13" i="23"/>
  <c r="M13" i="23" s="1"/>
  <c r="R18" i="23"/>
  <c r="T18" i="23" s="1"/>
  <c r="AD18" i="23" s="1"/>
  <c r="Q18" i="23"/>
  <c r="L18" i="23"/>
  <c r="M18" i="23" s="1"/>
  <c r="R15" i="23"/>
  <c r="T15" i="23" s="1"/>
  <c r="AD15" i="23" s="1"/>
  <c r="Q15" i="23"/>
  <c r="Q21" i="23" s="1"/>
  <c r="L15" i="23"/>
  <c r="M15" i="23" s="1"/>
  <c r="R24" i="23"/>
  <c r="Q24" i="23"/>
  <c r="G24" i="23"/>
  <c r="G60" i="26" s="1"/>
  <c r="AA23" i="23"/>
  <c r="AA24" i="23" s="1"/>
  <c r="AD60" i="26" s="1"/>
  <c r="T23" i="23"/>
  <c r="L23" i="23"/>
  <c r="M23" i="23" s="1"/>
  <c r="AC60" i="26"/>
  <c r="T22" i="23"/>
  <c r="J24" i="23"/>
  <c r="J60" i="26" s="1"/>
  <c r="AC10" i="23"/>
  <c r="AB10" i="23"/>
  <c r="AA10" i="23"/>
  <c r="Y10" i="23"/>
  <c r="V10" i="23"/>
  <c r="S10" i="23"/>
  <c r="P10" i="23"/>
  <c r="O10" i="23"/>
  <c r="K10" i="23"/>
  <c r="G10" i="23"/>
  <c r="X8" i="23"/>
  <c r="U8" i="23"/>
  <c r="R8" i="23"/>
  <c r="T8" i="23" s="1"/>
  <c r="AD8" i="23" s="1"/>
  <c r="L8" i="23"/>
  <c r="M8" i="23" s="1"/>
  <c r="X7" i="23"/>
  <c r="U7" i="23"/>
  <c r="R7" i="23"/>
  <c r="T7" i="23" s="1"/>
  <c r="AD7" i="23" s="1"/>
  <c r="L7" i="23"/>
  <c r="M7" i="23" s="1"/>
  <c r="X9" i="23"/>
  <c r="U9" i="23"/>
  <c r="R9" i="23"/>
  <c r="T9" i="23" s="1"/>
  <c r="AD9" i="23" s="1"/>
  <c r="Q9" i="23"/>
  <c r="Q10" i="23" s="1"/>
  <c r="L9" i="23"/>
  <c r="M9" i="23" s="1"/>
  <c r="R6" i="23"/>
  <c r="T6" i="23" s="1"/>
  <c r="K66" i="26"/>
  <c r="AF55" i="26"/>
  <c r="AG55" i="26" s="1"/>
  <c r="AH55" i="26" s="1"/>
  <c r="AF46" i="26"/>
  <c r="AG46" i="26" s="1"/>
  <c r="AH46" i="26" s="1"/>
  <c r="W44" i="26"/>
  <c r="AG44" i="26" s="1"/>
  <c r="AH44" i="26" s="1"/>
  <c r="R40" i="26"/>
  <c r="T40" i="26" s="1"/>
  <c r="AG40" i="26" s="1"/>
  <c r="AH40" i="26" s="1"/>
  <c r="R37" i="26"/>
  <c r="T37" i="26" s="1"/>
  <c r="AG37" i="26" s="1"/>
  <c r="AH37" i="26" s="1"/>
  <c r="R36" i="26"/>
  <c r="T36" i="26" s="1"/>
  <c r="AG36" i="26" s="1"/>
  <c r="AH36" i="26" s="1"/>
  <c r="R35" i="26"/>
  <c r="T35" i="26" s="1"/>
  <c r="AG35" i="26" s="1"/>
  <c r="AH35" i="26" s="1"/>
  <c r="R34" i="26"/>
  <c r="T34" i="26" s="1"/>
  <c r="AG34" i="26" s="1"/>
  <c r="AH34" i="26" s="1"/>
  <c r="R33" i="26"/>
  <c r="T33" i="26" s="1"/>
  <c r="AG33" i="26" s="1"/>
  <c r="AH33" i="26" s="1"/>
  <c r="R30" i="26"/>
  <c r="T30" i="26" s="1"/>
  <c r="AG30" i="26" s="1"/>
  <c r="AH30" i="26" s="1"/>
  <c r="R29" i="26"/>
  <c r="T29" i="26" s="1"/>
  <c r="AH29" i="26" s="1"/>
  <c r="R28" i="26"/>
  <c r="T28" i="26" s="1"/>
  <c r="AG28" i="26" s="1"/>
  <c r="AH28" i="26" s="1"/>
  <c r="R27" i="26"/>
  <c r="T27" i="26" s="1"/>
  <c r="AG27" i="26" s="1"/>
  <c r="AH27" i="26" s="1"/>
  <c r="T26" i="26"/>
  <c r="AG26" i="26" s="1"/>
  <c r="AH26" i="26" s="1"/>
  <c r="R25" i="26"/>
  <c r="T25" i="26" s="1"/>
  <c r="AG25" i="26" s="1"/>
  <c r="AH25" i="26" s="1"/>
  <c r="R24" i="26"/>
  <c r="T24" i="26" s="1"/>
  <c r="Q24" i="26"/>
  <c r="R16" i="26"/>
  <c r="T16" i="26" s="1"/>
  <c r="AG16" i="26" s="1"/>
  <c r="AH16" i="26" s="1"/>
  <c r="R15" i="26"/>
  <c r="T15" i="26" s="1"/>
  <c r="AG15" i="26" s="1"/>
  <c r="AH15" i="26" s="1"/>
  <c r="R14" i="26"/>
  <c r="T14" i="26" s="1"/>
  <c r="AG14" i="26" s="1"/>
  <c r="AH14" i="26" s="1"/>
  <c r="R13" i="26"/>
  <c r="AE20" i="23" l="1"/>
  <c r="AE16" i="23"/>
  <c r="AE18" i="23"/>
  <c r="AE17" i="23"/>
  <c r="G47" i="23"/>
  <c r="AE19" i="23"/>
  <c r="M10" i="23"/>
  <c r="M58" i="26" s="1"/>
  <c r="AG24" i="26"/>
  <c r="AH24" i="26" s="1"/>
  <c r="T11" i="23"/>
  <c r="R21" i="23"/>
  <c r="AC27" i="23"/>
  <c r="AD25" i="23"/>
  <c r="M33" i="23"/>
  <c r="M38" i="23" s="1"/>
  <c r="L38" i="23"/>
  <c r="L63" i="26" s="1"/>
  <c r="AE9" i="23"/>
  <c r="AE7" i="23"/>
  <c r="AE8" i="23"/>
  <c r="AE15" i="23"/>
  <c r="M27" i="23"/>
  <c r="M61" i="26" s="1"/>
  <c r="AE26" i="23"/>
  <c r="AE34" i="23"/>
  <c r="AE36" i="23"/>
  <c r="L10" i="23"/>
  <c r="T10" i="23"/>
  <c r="T58" i="26" s="1"/>
  <c r="AD6" i="23"/>
  <c r="AE35" i="23"/>
  <c r="AE37" i="23"/>
  <c r="M43" i="23"/>
  <c r="L46" i="23"/>
  <c r="L65" i="26" s="1"/>
  <c r="T24" i="23"/>
  <c r="M21" i="23"/>
  <c r="L21" i="23"/>
  <c r="L59" i="26" s="1"/>
  <c r="Q66" i="26"/>
  <c r="U10" i="23"/>
  <c r="U47" i="23" s="1"/>
  <c r="AC23" i="23"/>
  <c r="AD23" i="23" s="1"/>
  <c r="AE23" i="23" s="1"/>
  <c r="AA38" i="23"/>
  <c r="AD63" i="26" s="1"/>
  <c r="L22" i="23"/>
  <c r="M22" i="23" s="1"/>
  <c r="M24" i="23" s="1"/>
  <c r="M60" i="26" s="1"/>
  <c r="AC59" i="26"/>
  <c r="AC65" i="26"/>
  <c r="R10" i="23"/>
  <c r="R58" i="26" s="1"/>
  <c r="AB47" i="23"/>
  <c r="L27" i="23"/>
  <c r="L61" i="26" s="1"/>
  <c r="Z58" i="26"/>
  <c r="N59" i="26"/>
  <c r="Z59" i="26"/>
  <c r="AC61" i="26"/>
  <c r="J27" i="23"/>
  <c r="J61" i="26" s="1"/>
  <c r="J38" i="23"/>
  <c r="J63" i="26" s="1"/>
  <c r="P47" i="23"/>
  <c r="K47" i="23"/>
  <c r="X59" i="26"/>
  <c r="N58" i="26"/>
  <c r="N60" i="26"/>
  <c r="AC22" i="23"/>
  <c r="AD61" i="26"/>
  <c r="AA61" i="26"/>
  <c r="AC33" i="23"/>
  <c r="AA42" i="23"/>
  <c r="AD64" i="26" s="1"/>
  <c r="AC58" i="26"/>
  <c r="X10" i="23"/>
  <c r="G58" i="26"/>
  <c r="N61" i="26"/>
  <c r="N32" i="23"/>
  <c r="O47" i="23"/>
  <c r="AC39" i="23"/>
  <c r="L41" i="23"/>
  <c r="Q47" i="23"/>
  <c r="W43" i="23"/>
  <c r="AD43" i="23" s="1"/>
  <c r="W45" i="23"/>
  <c r="AD45" i="23" s="1"/>
  <c r="AE45" i="23" s="1"/>
  <c r="AF61" i="26"/>
  <c r="L28" i="23"/>
  <c r="L32" i="23" s="1"/>
  <c r="L62" i="26" s="1"/>
  <c r="T13" i="26"/>
  <c r="AC24" i="23" l="1"/>
  <c r="AG13" i="26"/>
  <c r="AH13" i="26" s="1"/>
  <c r="L58" i="26"/>
  <c r="AE25" i="23"/>
  <c r="AD27" i="23"/>
  <c r="AG61" i="26" s="1"/>
  <c r="AC42" i="23"/>
  <c r="AD39" i="23"/>
  <c r="AC38" i="23"/>
  <c r="AC47" i="23" s="1"/>
  <c r="AD33" i="23"/>
  <c r="AD38" i="23" s="1"/>
  <c r="AG63" i="26" s="1"/>
  <c r="M46" i="23"/>
  <c r="M65" i="26" s="1"/>
  <c r="AE43" i="23"/>
  <c r="AD22" i="23"/>
  <c r="AE6" i="23"/>
  <c r="AE10" i="23" s="1"/>
  <c r="AD10" i="23"/>
  <c r="M41" i="23"/>
  <c r="L42" i="23"/>
  <c r="L64" i="26" s="1"/>
  <c r="N62" i="26"/>
  <c r="N47" i="23"/>
  <c r="J47" i="23"/>
  <c r="M63" i="26"/>
  <c r="T21" i="23"/>
  <c r="T59" i="26" s="1"/>
  <c r="AD11" i="23"/>
  <c r="AC66" i="26"/>
  <c r="AD66" i="26"/>
  <c r="M28" i="23"/>
  <c r="L24" i="23"/>
  <c r="L60" i="26" s="1"/>
  <c r="R47" i="23"/>
  <c r="AA47" i="23"/>
  <c r="X58" i="26"/>
  <c r="X66" i="26" s="1"/>
  <c r="AA58" i="26"/>
  <c r="AA66" i="26" s="1"/>
  <c r="X47" i="23"/>
  <c r="AF64" i="26"/>
  <c r="AF60" i="26"/>
  <c r="R59" i="26"/>
  <c r="W44" i="23"/>
  <c r="AD44" i="23" s="1"/>
  <c r="AE44" i="23" s="1"/>
  <c r="AE33" i="23" l="1"/>
  <c r="AG58" i="26"/>
  <c r="AE39" i="23"/>
  <c r="AD42" i="23"/>
  <c r="AG64" i="26" s="1"/>
  <c r="AF63" i="26"/>
  <c r="AF66" i="26" s="1"/>
  <c r="M32" i="23"/>
  <c r="AE28" i="23"/>
  <c r="AE32" i="23" s="1"/>
  <c r="AH59" i="26"/>
  <c r="AD21" i="23"/>
  <c r="AG59" i="26" s="1"/>
  <c r="T47" i="23"/>
  <c r="AE22" i="23"/>
  <c r="AE24" i="23" s="1"/>
  <c r="AH60" i="26" s="1"/>
  <c r="AD24" i="23"/>
  <c r="AG60" i="26" s="1"/>
  <c r="AD46" i="23"/>
  <c r="AG65" i="26" s="1"/>
  <c r="L47" i="23"/>
  <c r="AE41" i="23"/>
  <c r="M42" i="23"/>
  <c r="M64" i="26" s="1"/>
  <c r="AE46" i="23"/>
  <c r="W46" i="23"/>
  <c r="W47" i="23" s="1"/>
  <c r="M59" i="26"/>
  <c r="N65" i="26"/>
  <c r="AH61" i="26"/>
  <c r="AH58" i="26"/>
  <c r="AH64" i="26" l="1"/>
  <c r="M62" i="26"/>
  <c r="M47" i="23"/>
  <c r="AD47" i="23"/>
  <c r="Z65" i="26"/>
  <c r="Z66" i="26" s="1"/>
  <c r="AH62" i="26"/>
  <c r="AH63" i="26"/>
  <c r="AH65" i="26" l="1"/>
  <c r="L33" i="24" l="1"/>
  <c r="M16" i="24"/>
  <c r="P16" i="24" s="1"/>
  <c r="R16" i="24" s="1"/>
  <c r="I16" i="24"/>
  <c r="K16" i="24" s="1"/>
  <c r="N16" i="24" l="1"/>
  <c r="O16" i="24"/>
  <c r="R13" i="24"/>
  <c r="AB22" i="21"/>
  <c r="K20" i="21"/>
  <c r="K19" i="21"/>
  <c r="K22" i="21"/>
  <c r="K23" i="21"/>
  <c r="K24" i="21"/>
  <c r="K25" i="21"/>
  <c r="K27" i="21"/>
  <c r="K28" i="21"/>
  <c r="K29" i="21"/>
  <c r="K30" i="21"/>
  <c r="K31" i="21"/>
  <c r="K32" i="21"/>
  <c r="K34" i="21"/>
  <c r="K33" i="21"/>
  <c r="K35" i="21"/>
  <c r="K36" i="21"/>
  <c r="K38" i="21"/>
  <c r="K40" i="21"/>
  <c r="K37" i="21"/>
  <c r="K41" i="21"/>
  <c r="K43" i="21"/>
  <c r="K44" i="21"/>
  <c r="K45" i="21"/>
  <c r="K46" i="21"/>
  <c r="K48" i="21"/>
  <c r="K47" i="21"/>
  <c r="K49" i="21"/>
  <c r="K50" i="21"/>
  <c r="K52" i="21"/>
  <c r="K51" i="21"/>
  <c r="K53" i="21"/>
  <c r="K54" i="21"/>
  <c r="K57" i="21"/>
  <c r="K56" i="21"/>
  <c r="K58" i="21"/>
  <c r="K60" i="21"/>
  <c r="K59" i="21"/>
  <c r="K61" i="21"/>
  <c r="K62" i="21"/>
  <c r="K21" i="21"/>
  <c r="G16" i="8"/>
  <c r="G57" i="26" s="1"/>
  <c r="G66" i="26" s="1"/>
  <c r="J6" i="8"/>
  <c r="J7" i="8"/>
  <c r="J8" i="8"/>
  <c r="J9" i="8"/>
  <c r="J10" i="8"/>
  <c r="J11" i="8"/>
  <c r="J12" i="8"/>
  <c r="J13" i="8"/>
  <c r="J14" i="8"/>
  <c r="J15" i="8"/>
  <c r="J5" i="8"/>
  <c r="J16" i="8" l="1"/>
  <c r="J57" i="26"/>
  <c r="J66" i="26" s="1"/>
  <c r="AB16" i="24"/>
  <c r="AC16" i="24" s="1"/>
  <c r="R57" i="26"/>
  <c r="R66" i="26" s="1"/>
  <c r="O20" i="21"/>
  <c r="O19" i="21"/>
  <c r="O30" i="21" l="1"/>
  <c r="P30" i="21"/>
  <c r="AR30" i="21" s="1"/>
  <c r="Q30" i="21"/>
  <c r="R30" i="21"/>
  <c r="O37" i="21"/>
  <c r="P37" i="21"/>
  <c r="Q37" i="21"/>
  <c r="R37" i="21"/>
  <c r="R49" i="21"/>
  <c r="Q49" i="21"/>
  <c r="P49" i="21"/>
  <c r="O49" i="21"/>
  <c r="AS49" i="21" l="1"/>
  <c r="U49" i="21"/>
  <c r="Y49" i="21" s="1"/>
  <c r="S49" i="21"/>
  <c r="AR49" i="21"/>
  <c r="AS37" i="21"/>
  <c r="U37" i="21"/>
  <c r="Y37" i="21" s="1"/>
  <c r="S37" i="21"/>
  <c r="AR37" i="21"/>
  <c r="S30" i="21"/>
  <c r="AS30" i="21"/>
  <c r="U30" i="21"/>
  <c r="T30" i="21"/>
  <c r="X30" i="21" s="1"/>
  <c r="T37" i="21"/>
  <c r="X37" i="21" s="1"/>
  <c r="T49" i="21"/>
  <c r="X49" i="21" s="1"/>
  <c r="V30" i="21"/>
  <c r="V37" i="21"/>
  <c r="V49" i="21"/>
  <c r="Y30" i="21" l="1"/>
  <c r="W49" i="21"/>
  <c r="W37" i="21"/>
  <c r="W30" i="21"/>
  <c r="AZ30" i="21" l="1"/>
  <c r="AZ37" i="21"/>
  <c r="AZ49" i="21"/>
  <c r="S33" i="24"/>
  <c r="T33" i="24"/>
  <c r="U33" i="24"/>
  <c r="J33" i="24"/>
  <c r="M24" i="24"/>
  <c r="P24" i="24" s="1"/>
  <c r="R24" i="24" s="1"/>
  <c r="I24" i="24"/>
  <c r="K24" i="24" s="1"/>
  <c r="M20" i="24"/>
  <c r="P20" i="24" s="1"/>
  <c r="R20" i="24" s="1"/>
  <c r="I20" i="24"/>
  <c r="K20" i="24" s="1"/>
  <c r="N20" i="24" s="1"/>
  <c r="K16" i="8"/>
  <c r="M16" i="8"/>
  <c r="P15" i="8"/>
  <c r="R15" i="8" s="1"/>
  <c r="S15" i="8" s="1"/>
  <c r="L15" i="8"/>
  <c r="N15" i="8" s="1"/>
  <c r="P7" i="8"/>
  <c r="R7" i="8" s="1"/>
  <c r="L7" i="8"/>
  <c r="P6" i="8"/>
  <c r="R6" i="8" s="1"/>
  <c r="L6" i="8"/>
  <c r="P13" i="8"/>
  <c r="R13" i="8" s="1"/>
  <c r="L13" i="8"/>
  <c r="P12" i="8"/>
  <c r="R12" i="8" s="1"/>
  <c r="S12" i="8" s="1"/>
  <c r="T12" i="8" s="1"/>
  <c r="L12" i="8"/>
  <c r="N12" i="8" s="1"/>
  <c r="P11" i="8"/>
  <c r="R11" i="8" s="1"/>
  <c r="L11" i="8"/>
  <c r="L5" i="8"/>
  <c r="T15" i="8" l="1"/>
  <c r="O24" i="24"/>
  <c r="N24" i="24"/>
  <c r="O20" i="24"/>
  <c r="AB20" i="24" s="1"/>
  <c r="AC20" i="24" s="1"/>
  <c r="N5" i="8"/>
  <c r="N11" i="8"/>
  <c r="O11" i="8" s="1"/>
  <c r="S11" i="8" s="1"/>
  <c r="T11" i="8" s="1"/>
  <c r="N13" i="8"/>
  <c r="O13" i="8" s="1"/>
  <c r="S13" i="8" s="1"/>
  <c r="T13" i="8" s="1"/>
  <c r="AB24" i="24"/>
  <c r="N7" i="8"/>
  <c r="O7" i="8" s="1"/>
  <c r="S7" i="8" s="1"/>
  <c r="T7" i="8" s="1"/>
  <c r="N6" i="8"/>
  <c r="O6" i="8" s="1"/>
  <c r="S6" i="8" s="1"/>
  <c r="T6" i="8" s="1"/>
  <c r="AC24" i="24" l="1"/>
  <c r="O5" i="8"/>
  <c r="P9" i="21"/>
  <c r="O9" i="21"/>
  <c r="S9" i="21" s="1"/>
  <c r="M11" i="24" l="1"/>
  <c r="M13" i="24"/>
  <c r="M12" i="24"/>
  <c r="P12" i="24" s="1"/>
  <c r="R12" i="24" s="1"/>
  <c r="M14" i="24"/>
  <c r="M15" i="24"/>
  <c r="P15" i="24" s="1"/>
  <c r="R15" i="24" s="1"/>
  <c r="M18" i="24"/>
  <c r="P18" i="24" s="1"/>
  <c r="R18" i="24" s="1"/>
  <c r="M19" i="24"/>
  <c r="P19" i="24" s="1"/>
  <c r="R19" i="24" s="1"/>
  <c r="M22" i="24"/>
  <c r="P22" i="24" s="1"/>
  <c r="R22" i="24" s="1"/>
  <c r="M23" i="24"/>
  <c r="P23" i="24" s="1"/>
  <c r="R23" i="24" s="1"/>
  <c r="M25" i="24"/>
  <c r="P25" i="24" s="1"/>
  <c r="R25" i="24" s="1"/>
  <c r="M26" i="24"/>
  <c r="P26" i="24" s="1"/>
  <c r="R26" i="24" s="1"/>
  <c r="M28" i="24"/>
  <c r="M31" i="24"/>
  <c r="M17" i="24"/>
  <c r="M21" i="24"/>
  <c r="M29" i="24"/>
  <c r="M32" i="24"/>
  <c r="M30" i="24"/>
  <c r="M27" i="24"/>
  <c r="M33" i="24" l="1"/>
  <c r="I27" i="24" l="1"/>
  <c r="K27" i="24" s="1"/>
  <c r="O27" i="24" l="1"/>
  <c r="N27" i="24"/>
  <c r="I13" i="24"/>
  <c r="I12" i="24"/>
  <c r="I14" i="24"/>
  <c r="I15" i="24"/>
  <c r="I11" i="24"/>
  <c r="P8" i="8"/>
  <c r="R8" i="8" s="1"/>
  <c r="L8" i="8" l="1"/>
  <c r="N8" i="8" l="1"/>
  <c r="AO63" i="21"/>
  <c r="AP63" i="21"/>
  <c r="AQ63" i="21"/>
  <c r="AT63" i="21"/>
  <c r="AU63" i="21"/>
  <c r="AV63" i="21"/>
  <c r="AW63" i="21"/>
  <c r="AX63" i="21"/>
  <c r="AF63" i="21"/>
  <c r="AG63" i="21"/>
  <c r="AH63" i="21"/>
  <c r="AL63" i="21"/>
  <c r="AM63" i="21"/>
  <c r="J63" i="21"/>
  <c r="O8" i="8" l="1"/>
  <c r="S8" i="8" l="1"/>
  <c r="T8" i="8" s="1"/>
  <c r="Q36" i="21"/>
  <c r="AS36" i="21" l="1"/>
  <c r="U36" i="21"/>
  <c r="Y36" i="21"/>
  <c r="K11" i="24" l="1"/>
  <c r="O11" i="24" l="1"/>
  <c r="I29" i="24"/>
  <c r="K29" i="24" s="1"/>
  <c r="O29" i="24" l="1"/>
  <c r="X29" i="24"/>
  <c r="AA29" i="24"/>
  <c r="P9" i="8"/>
  <c r="R9" i="8" s="1"/>
  <c r="P10" i="8"/>
  <c r="R10" i="8" s="1"/>
  <c r="S10" i="8" s="1"/>
  <c r="P14" i="8"/>
  <c r="R14" i="8" s="1"/>
  <c r="S14" i="8" s="1"/>
  <c r="P5" i="8"/>
  <c r="K12" i="24"/>
  <c r="N12" i="24" s="1"/>
  <c r="P16" i="8" l="1"/>
  <c r="O12" i="24"/>
  <c r="N11" i="24"/>
  <c r="P11" i="24"/>
  <c r="R11" i="24" l="1"/>
  <c r="AB11" i="24" s="1"/>
  <c r="AC11" i="24" s="1"/>
  <c r="AB12" i="24"/>
  <c r="AC12" i="24" s="1"/>
  <c r="AB53" i="21"/>
  <c r="AE53" i="21"/>
  <c r="AE27" i="21"/>
  <c r="R56" i="21" l="1"/>
  <c r="Q56" i="21"/>
  <c r="P56" i="21"/>
  <c r="O56" i="21"/>
  <c r="S56" i="21" l="1"/>
  <c r="AR56" i="21"/>
  <c r="AS56" i="21"/>
  <c r="U56" i="21"/>
  <c r="T56" i="21"/>
  <c r="V56" i="21" l="1"/>
  <c r="W56" i="21" s="1"/>
  <c r="AZ56" i="21" s="1"/>
  <c r="R22" i="21"/>
  <c r="Q22" i="21"/>
  <c r="P22" i="21"/>
  <c r="O22" i="21"/>
  <c r="S22" i="21" l="1"/>
  <c r="AR22" i="21"/>
  <c r="AS22" i="21"/>
  <c r="U22" i="21"/>
  <c r="Y22" i="21" s="1"/>
  <c r="T22" i="21"/>
  <c r="X22" i="21" s="1"/>
  <c r="V22" i="21"/>
  <c r="W22" i="21" l="1"/>
  <c r="AZ22" i="21" s="1"/>
  <c r="AE50" i="21" l="1"/>
  <c r="AE63" i="21" s="1"/>
  <c r="R31" i="21"/>
  <c r="Q31" i="21"/>
  <c r="P31" i="21"/>
  <c r="O31" i="21"/>
  <c r="R19" i="21"/>
  <c r="Q19" i="21"/>
  <c r="P19" i="21"/>
  <c r="AS31" i="21" l="1"/>
  <c r="U31" i="21"/>
  <c r="S19" i="21"/>
  <c r="AR19" i="21"/>
  <c r="AS19" i="21"/>
  <c r="U19" i="21"/>
  <c r="S31" i="21"/>
  <c r="AR31" i="21"/>
  <c r="Y31" i="21"/>
  <c r="T31" i="21"/>
  <c r="X31" i="21" s="1"/>
  <c r="T19" i="21"/>
  <c r="V31" i="21"/>
  <c r="V19" i="21"/>
  <c r="P27" i="24"/>
  <c r="R27" i="24" s="1"/>
  <c r="AB27" i="24" s="1"/>
  <c r="AC27" i="24" s="1"/>
  <c r="W19" i="21" l="1"/>
  <c r="W31" i="21"/>
  <c r="AZ31" i="21" l="1"/>
  <c r="Q42" i="21" l="1"/>
  <c r="U42" i="21" l="1"/>
  <c r="Y42" i="21" s="1"/>
  <c r="AS42" i="21"/>
  <c r="R62" i="21"/>
  <c r="Q62" i="21"/>
  <c r="P62" i="21"/>
  <c r="AR62" i="21" s="1"/>
  <c r="O62" i="21"/>
  <c r="R61" i="21"/>
  <c r="Q61" i="21"/>
  <c r="P61" i="21"/>
  <c r="O61" i="21"/>
  <c r="R60" i="21"/>
  <c r="Q60" i="21"/>
  <c r="P60" i="21"/>
  <c r="O60" i="21"/>
  <c r="R59" i="21"/>
  <c r="Q59" i="21"/>
  <c r="P59" i="21"/>
  <c r="O59" i="21"/>
  <c r="R58" i="21"/>
  <c r="Q58" i="21"/>
  <c r="P58" i="21"/>
  <c r="O58" i="21"/>
  <c r="R57" i="21"/>
  <c r="Q57" i="21"/>
  <c r="P57" i="21"/>
  <c r="O57" i="21"/>
  <c r="R54" i="21"/>
  <c r="Q54" i="21"/>
  <c r="P54" i="21"/>
  <c r="O54" i="21"/>
  <c r="R53" i="21"/>
  <c r="Q53" i="21"/>
  <c r="P53" i="21"/>
  <c r="O53" i="21"/>
  <c r="R51" i="21"/>
  <c r="Q51" i="21"/>
  <c r="P51" i="21"/>
  <c r="O51" i="21"/>
  <c r="R52" i="21"/>
  <c r="Q52" i="21"/>
  <c r="P52" i="21"/>
  <c r="O52" i="21"/>
  <c r="R50" i="21"/>
  <c r="Q50" i="21"/>
  <c r="P50" i="21"/>
  <c r="O50" i="21"/>
  <c r="R47" i="21"/>
  <c r="Q47" i="21"/>
  <c r="P47" i="21"/>
  <c r="O47" i="21"/>
  <c r="R48" i="21"/>
  <c r="Q48" i="21"/>
  <c r="P48" i="21"/>
  <c r="O48" i="21"/>
  <c r="Q46" i="21"/>
  <c r="P46" i="21"/>
  <c r="O46" i="21"/>
  <c r="R45" i="21"/>
  <c r="Q45" i="21"/>
  <c r="P45" i="21"/>
  <c r="O45" i="21"/>
  <c r="R43" i="21"/>
  <c r="Q43" i="21"/>
  <c r="P43" i="21"/>
  <c r="O43" i="21"/>
  <c r="AB41" i="21"/>
  <c r="R41" i="21"/>
  <c r="Q41" i="21"/>
  <c r="P41" i="21"/>
  <c r="O41" i="21"/>
  <c r="R42" i="21"/>
  <c r="P42" i="21"/>
  <c r="O42" i="21"/>
  <c r="R40" i="21"/>
  <c r="Q40" i="21"/>
  <c r="P40" i="21"/>
  <c r="O40" i="21"/>
  <c r="R38" i="21"/>
  <c r="Q38" i="21"/>
  <c r="P38" i="21"/>
  <c r="O38" i="21"/>
  <c r="AB44" i="21"/>
  <c r="R44" i="21"/>
  <c r="Q44" i="21"/>
  <c r="P44" i="21"/>
  <c r="O44" i="21"/>
  <c r="R36" i="21"/>
  <c r="P36" i="21"/>
  <c r="O36" i="21"/>
  <c r="R35" i="21"/>
  <c r="Q35" i="21"/>
  <c r="P35" i="21"/>
  <c r="O35" i="21"/>
  <c r="AB34" i="21"/>
  <c r="Q34" i="21"/>
  <c r="P34" i="21"/>
  <c r="O34" i="21"/>
  <c r="R33" i="21"/>
  <c r="Q33" i="21"/>
  <c r="P33" i="21"/>
  <c r="O33" i="21"/>
  <c r="R32" i="21"/>
  <c r="Q32" i="21"/>
  <c r="P32" i="21"/>
  <c r="O32" i="21"/>
  <c r="AB29" i="21"/>
  <c r="R29" i="21"/>
  <c r="Q29" i="21"/>
  <c r="O29" i="21"/>
  <c r="R24" i="21"/>
  <c r="Q24" i="21"/>
  <c r="P24" i="21"/>
  <c r="O24" i="21"/>
  <c r="R25" i="21"/>
  <c r="Q25" i="21"/>
  <c r="P25" i="21"/>
  <c r="O25" i="21"/>
  <c r="AB27" i="21"/>
  <c r="AB63" i="21" s="1"/>
  <c r="R27" i="21"/>
  <c r="Q27" i="21"/>
  <c r="P27" i="21"/>
  <c r="O27" i="21"/>
  <c r="R28" i="21"/>
  <c r="Q28" i="21"/>
  <c r="P28" i="21"/>
  <c r="AR28" i="21" s="1"/>
  <c r="O28" i="21"/>
  <c r="R21" i="21"/>
  <c r="Q21" i="21"/>
  <c r="P21" i="21"/>
  <c r="O21" i="21"/>
  <c r="AS34" i="21" l="1"/>
  <c r="U34" i="21"/>
  <c r="S21" i="21"/>
  <c r="AR21" i="21"/>
  <c r="S44" i="21"/>
  <c r="AR44" i="21"/>
  <c r="S41" i="21"/>
  <c r="AR41" i="21"/>
  <c r="S48" i="21"/>
  <c r="AR48" i="21"/>
  <c r="S51" i="21"/>
  <c r="AR51" i="21"/>
  <c r="S59" i="21"/>
  <c r="AR59" i="21"/>
  <c r="AS21" i="21"/>
  <c r="U21" i="21"/>
  <c r="Y21" i="21" s="1"/>
  <c r="S34" i="21"/>
  <c r="AR34" i="21"/>
  <c r="AS44" i="21"/>
  <c r="U44" i="21"/>
  <c r="Y44" i="21" s="1"/>
  <c r="AS41" i="21"/>
  <c r="U41" i="21"/>
  <c r="AS48" i="21"/>
  <c r="U48" i="21"/>
  <c r="Y48" i="21" s="1"/>
  <c r="AS51" i="21"/>
  <c r="U51" i="21"/>
  <c r="AS59" i="21"/>
  <c r="U59" i="21"/>
  <c r="Y59" i="21" s="1"/>
  <c r="AS35" i="21"/>
  <c r="U35" i="21"/>
  <c r="AS38" i="21"/>
  <c r="U38" i="21"/>
  <c r="Y38" i="21" s="1"/>
  <c r="AS45" i="21"/>
  <c r="U45" i="21"/>
  <c r="AS32" i="21"/>
  <c r="U32" i="21"/>
  <c r="AS46" i="21"/>
  <c r="U46" i="21"/>
  <c r="S27" i="21"/>
  <c r="AR27" i="21"/>
  <c r="S47" i="21"/>
  <c r="AR47" i="21"/>
  <c r="S50" i="21"/>
  <c r="AR50" i="21"/>
  <c r="S52" i="21"/>
  <c r="AR52" i="21"/>
  <c r="S53" i="21"/>
  <c r="AR53" i="21"/>
  <c r="S54" i="21"/>
  <c r="AR54" i="21"/>
  <c r="S57" i="21"/>
  <c r="AR57" i="21"/>
  <c r="S58" i="21"/>
  <c r="AR58" i="21"/>
  <c r="S60" i="21"/>
  <c r="AR60" i="21"/>
  <c r="S61" i="21"/>
  <c r="AR61" i="21"/>
  <c r="AS33" i="21"/>
  <c r="U33" i="21"/>
  <c r="Y33" i="21" s="1"/>
  <c r="AS40" i="21"/>
  <c r="U40" i="21"/>
  <c r="AS43" i="21"/>
  <c r="U43" i="21"/>
  <c r="Y43" i="21" s="1"/>
  <c r="S28" i="21"/>
  <c r="AS28" i="21"/>
  <c r="U28" i="21"/>
  <c r="AS27" i="21"/>
  <c r="U27" i="21"/>
  <c r="Y27" i="21" s="1"/>
  <c r="S32" i="21"/>
  <c r="AR32" i="21"/>
  <c r="S33" i="21"/>
  <c r="AR33" i="21"/>
  <c r="S35" i="21"/>
  <c r="AR35" i="21"/>
  <c r="S36" i="21"/>
  <c r="AR36" i="21"/>
  <c r="S38" i="21"/>
  <c r="AR38" i="21"/>
  <c r="S40" i="21"/>
  <c r="AR40" i="21"/>
  <c r="S42" i="21"/>
  <c r="AR42" i="21"/>
  <c r="T42" i="21"/>
  <c r="X42" i="21" s="1"/>
  <c r="S43" i="21"/>
  <c r="AR43" i="21"/>
  <c r="S45" i="21"/>
  <c r="AR45" i="21"/>
  <c r="S46" i="21"/>
  <c r="AR46" i="21"/>
  <c r="AS47" i="21"/>
  <c r="U47" i="21"/>
  <c r="Y47" i="21" s="1"/>
  <c r="AS50" i="21"/>
  <c r="U50" i="21"/>
  <c r="AS52" i="21"/>
  <c r="U52" i="21"/>
  <c r="AS53" i="21"/>
  <c r="U53" i="21"/>
  <c r="AS54" i="21"/>
  <c r="U54" i="21"/>
  <c r="Y54" i="21" s="1"/>
  <c r="AS57" i="21"/>
  <c r="U57" i="21"/>
  <c r="AS58" i="21"/>
  <c r="U58" i="21"/>
  <c r="Y58" i="21" s="1"/>
  <c r="AS60" i="21"/>
  <c r="U60" i="21"/>
  <c r="AS61" i="21"/>
  <c r="U61" i="21"/>
  <c r="Y61" i="21" s="1"/>
  <c r="AS62" i="21"/>
  <c r="U62" i="21"/>
  <c r="AS24" i="21"/>
  <c r="U24" i="21"/>
  <c r="Y24" i="21" s="1"/>
  <c r="AS25" i="21"/>
  <c r="U25" i="21"/>
  <c r="Y25" i="21" s="1"/>
  <c r="S25" i="21"/>
  <c r="AR25" i="21"/>
  <c r="S24" i="21"/>
  <c r="AR24" i="21"/>
  <c r="U29" i="21"/>
  <c r="S29" i="21"/>
  <c r="AS29" i="21"/>
  <c r="Y41" i="21"/>
  <c r="Y50" i="21"/>
  <c r="Y53" i="21"/>
  <c r="Y60" i="21"/>
  <c r="Y62" i="21"/>
  <c r="Y32" i="21"/>
  <c r="Y35" i="21"/>
  <c r="Y40" i="21"/>
  <c r="Y45" i="21"/>
  <c r="Y46" i="21"/>
  <c r="Y28" i="21"/>
  <c r="Y51" i="21"/>
  <c r="T21" i="21"/>
  <c r="X21" i="21" s="1"/>
  <c r="T32" i="21"/>
  <c r="X32" i="21" s="1"/>
  <c r="T35" i="21"/>
  <c r="X35" i="21" s="1"/>
  <c r="T36" i="21"/>
  <c r="X36" i="21" s="1"/>
  <c r="T38" i="21"/>
  <c r="X38" i="21" s="1"/>
  <c r="T40" i="21"/>
  <c r="X40" i="21" s="1"/>
  <c r="T28" i="21"/>
  <c r="X28" i="21" s="1"/>
  <c r="T27" i="21"/>
  <c r="X27" i="21" s="1"/>
  <c r="T41" i="21"/>
  <c r="X41" i="21" s="1"/>
  <c r="T48" i="21"/>
  <c r="X48" i="21" s="1"/>
  <c r="T47" i="21"/>
  <c r="X47" i="21" s="1"/>
  <c r="S62" i="21"/>
  <c r="T62" i="21"/>
  <c r="X62" i="21" s="1"/>
  <c r="T34" i="21"/>
  <c r="T60" i="21"/>
  <c r="X60" i="21" s="1"/>
  <c r="T61" i="21"/>
  <c r="X61" i="21" s="1"/>
  <c r="T25" i="21"/>
  <c r="X25" i="21" s="1"/>
  <c r="T43" i="21"/>
  <c r="X43" i="21" s="1"/>
  <c r="T45" i="21"/>
  <c r="X45" i="21" s="1"/>
  <c r="T46" i="21"/>
  <c r="X46" i="21" s="1"/>
  <c r="T50" i="21"/>
  <c r="X50" i="21" s="1"/>
  <c r="T33" i="21"/>
  <c r="X33" i="21" s="1"/>
  <c r="T51" i="21"/>
  <c r="X51" i="21" s="1"/>
  <c r="T24" i="21"/>
  <c r="X24" i="21" s="1"/>
  <c r="T29" i="21"/>
  <c r="X29" i="21" s="1"/>
  <c r="T44" i="21"/>
  <c r="X44" i="21" s="1"/>
  <c r="T52" i="21"/>
  <c r="T53" i="21"/>
  <c r="X53" i="21" s="1"/>
  <c r="T54" i="21"/>
  <c r="X54" i="21" s="1"/>
  <c r="T57" i="21"/>
  <c r="T58" i="21"/>
  <c r="X58" i="21" s="1"/>
  <c r="T59" i="21"/>
  <c r="X59" i="21" s="1"/>
  <c r="AN63" i="21"/>
  <c r="V38" i="21"/>
  <c r="V48" i="21"/>
  <c r="V58" i="21"/>
  <c r="V60" i="21"/>
  <c r="V25" i="21"/>
  <c r="V45" i="21"/>
  <c r="V41" i="21"/>
  <c r="V53" i="21"/>
  <c r="V36" i="21"/>
  <c r="V51" i="21"/>
  <c r="V44" i="21"/>
  <c r="V43" i="21"/>
  <c r="V42" i="21"/>
  <c r="V27" i="21"/>
  <c r="V32" i="21"/>
  <c r="V29" i="21"/>
  <c r="V35" i="21"/>
  <c r="V24" i="21"/>
  <c r="V34" i="21"/>
  <c r="V28" i="21"/>
  <c r="V61" i="21"/>
  <c r="V40" i="21"/>
  <c r="V59" i="21"/>
  <c r="V33" i="21"/>
  <c r="V52" i="21"/>
  <c r="V47" i="21"/>
  <c r="V57" i="21"/>
  <c r="V62" i="21"/>
  <c r="V50" i="21"/>
  <c r="V54" i="21"/>
  <c r="V46" i="21"/>
  <c r="Y29" i="21" l="1"/>
  <c r="W38" i="21"/>
  <c r="W57" i="21"/>
  <c r="AZ57" i="21" s="1"/>
  <c r="W41" i="21"/>
  <c r="W43" i="21"/>
  <c r="W51" i="21"/>
  <c r="W42" i="21"/>
  <c r="AZ42" i="21" s="1"/>
  <c r="W33" i="21"/>
  <c r="AZ33" i="21" s="1"/>
  <c r="W47" i="21"/>
  <c r="W35" i="21"/>
  <c r="AZ35" i="21" s="1"/>
  <c r="W52" i="21"/>
  <c r="AZ52" i="21" s="1"/>
  <c r="W29" i="21"/>
  <c r="W61" i="21"/>
  <c r="W28" i="21"/>
  <c r="W50" i="21"/>
  <c r="W59" i="21"/>
  <c r="W58" i="21"/>
  <c r="W54" i="21"/>
  <c r="W44" i="21"/>
  <c r="W24" i="21"/>
  <c r="AZ24" i="21" s="1"/>
  <c r="W46" i="21"/>
  <c r="W45" i="21"/>
  <c r="AZ45" i="21" s="1"/>
  <c r="W25" i="21"/>
  <c r="W60" i="21"/>
  <c r="W34" i="21"/>
  <c r="AZ34" i="21" s="1"/>
  <c r="W62" i="21"/>
  <c r="W48" i="21"/>
  <c r="W27" i="21"/>
  <c r="AZ27" i="21" s="1"/>
  <c r="W40" i="21"/>
  <c r="W36" i="21"/>
  <c r="AZ36" i="21" s="1"/>
  <c r="W32" i="21"/>
  <c r="W53" i="21"/>
  <c r="V21" i="21"/>
  <c r="W21" i="21" s="1"/>
  <c r="AZ48" i="21" l="1"/>
  <c r="AZ28" i="21"/>
  <c r="AZ46" i="21"/>
  <c r="AZ61" i="21"/>
  <c r="AZ40" i="21"/>
  <c r="AZ59" i="21"/>
  <c r="AZ47" i="21"/>
  <c r="AZ43" i="21"/>
  <c r="AZ32" i="21"/>
  <c r="AZ44" i="21"/>
  <c r="AZ50" i="21"/>
  <c r="AZ62" i="21"/>
  <c r="AZ60" i="21"/>
  <c r="AZ53" i="21"/>
  <c r="AZ54" i="21"/>
  <c r="AZ51" i="21"/>
  <c r="AZ38" i="21"/>
  <c r="AZ58" i="21"/>
  <c r="AZ29" i="21"/>
  <c r="AZ41" i="21"/>
  <c r="AZ25" i="21"/>
  <c r="P14" i="24"/>
  <c r="P21" i="24"/>
  <c r="P31" i="24"/>
  <c r="R31" i="24" s="1"/>
  <c r="P17" i="24"/>
  <c r="P32" i="24"/>
  <c r="AZ21" i="21" l="1"/>
  <c r="V17" i="24"/>
  <c r="Y17" i="24"/>
  <c r="R17" i="24"/>
  <c r="R21" i="24"/>
  <c r="R32" i="24"/>
  <c r="R14" i="24"/>
  <c r="P30" i="24"/>
  <c r="R30" i="24" s="1"/>
  <c r="P29" i="24"/>
  <c r="N29" i="24"/>
  <c r="P28" i="24"/>
  <c r="R28" i="24" s="1"/>
  <c r="P33" i="24" l="1"/>
  <c r="Y29" i="24"/>
  <c r="Y33" i="24" s="1"/>
  <c r="R29" i="24"/>
  <c r="AB29" i="24" s="1"/>
  <c r="AC29" i="24" s="1"/>
  <c r="V29" i="24"/>
  <c r="V33" i="24" s="1"/>
  <c r="R33" i="24" l="1"/>
  <c r="R5" i="8"/>
  <c r="R16" i="8" l="1"/>
  <c r="T57" i="26" s="1"/>
  <c r="S5" i="8"/>
  <c r="T66" i="26"/>
  <c r="T5" i="8" l="1"/>
  <c r="R6" i="21"/>
  <c r="R7" i="21"/>
  <c r="R12" i="21"/>
  <c r="R8" i="21"/>
  <c r="R10" i="21"/>
  <c r="R11" i="21"/>
  <c r="R9" i="21" l="1"/>
  <c r="I17" i="24" l="1"/>
  <c r="K17" i="24" s="1"/>
  <c r="O23" i="21"/>
  <c r="O63" i="21" s="1"/>
  <c r="I30" i="24"/>
  <c r="AA17" i="24" l="1"/>
  <c r="N17" i="24"/>
  <c r="X17" i="24"/>
  <c r="X33" i="24" s="1"/>
  <c r="O17" i="24"/>
  <c r="K13" i="24"/>
  <c r="N13" i="24" s="1"/>
  <c r="K14" i="24"/>
  <c r="N14" i="24" s="1"/>
  <c r="K30" i="24"/>
  <c r="O13" i="24" l="1"/>
  <c r="O14" i="24"/>
  <c r="AB14" i="24" s="1"/>
  <c r="AC14" i="24" s="1"/>
  <c r="AB17" i="24"/>
  <c r="N30" i="24"/>
  <c r="O30" i="24"/>
  <c r="AB30" i="24" s="1"/>
  <c r="AC17" i="24" l="1"/>
  <c r="AB13" i="24"/>
  <c r="AC30" i="24"/>
  <c r="AC13" i="24" l="1"/>
  <c r="I32" i="24"/>
  <c r="K32" i="24" s="1"/>
  <c r="O32" i="24" s="1"/>
  <c r="I31" i="24"/>
  <c r="I28" i="24"/>
  <c r="I26" i="24"/>
  <c r="I25" i="24"/>
  <c r="I23" i="24"/>
  <c r="I22" i="24"/>
  <c r="I21" i="24"/>
  <c r="K21" i="24" s="1"/>
  <c r="I18" i="24"/>
  <c r="I19" i="24"/>
  <c r="AB32" i="24" l="1"/>
  <c r="O21" i="24"/>
  <c r="N21" i="24"/>
  <c r="N32" i="24"/>
  <c r="K15" i="24"/>
  <c r="N15" i="24" s="1"/>
  <c r="K25" i="24"/>
  <c r="N25" i="24" s="1"/>
  <c r="K19" i="24"/>
  <c r="N19" i="24" s="1"/>
  <c r="K18" i="24"/>
  <c r="N18" i="24" s="1"/>
  <c r="K22" i="24"/>
  <c r="N22" i="24" s="1"/>
  <c r="K26" i="24"/>
  <c r="N26" i="24" s="1"/>
  <c r="K23" i="24"/>
  <c r="N23" i="24" s="1"/>
  <c r="K31" i="24"/>
  <c r="K28" i="24"/>
  <c r="O28" i="24" s="1"/>
  <c r="AB28" i="24" s="1"/>
  <c r="AC32" i="24" l="1"/>
  <c r="AB21" i="24"/>
  <c r="AA33" i="24"/>
  <c r="N31" i="24"/>
  <c r="O31" i="24"/>
  <c r="AB31" i="24" s="1"/>
  <c r="O15" i="24"/>
  <c r="K33" i="24"/>
  <c r="O26" i="24"/>
  <c r="AB26" i="24" s="1"/>
  <c r="O23" i="24"/>
  <c r="AB23" i="24" s="1"/>
  <c r="AC23" i="24" s="1"/>
  <c r="O19" i="24"/>
  <c r="AB19" i="24" s="1"/>
  <c r="O22" i="24"/>
  <c r="AB22" i="24" s="1"/>
  <c r="O25" i="24"/>
  <c r="AB25" i="24" s="1"/>
  <c r="O18" i="24"/>
  <c r="AB18" i="24" s="1"/>
  <c r="N28" i="24"/>
  <c r="AC28" i="24" s="1"/>
  <c r="AC31" i="24" l="1"/>
  <c r="O33" i="24"/>
  <c r="AC21" i="24"/>
  <c r="N33" i="24"/>
  <c r="AC18" i="24"/>
  <c r="AC25" i="24"/>
  <c r="AC19" i="24"/>
  <c r="AB15" i="24"/>
  <c r="AB33" i="24" s="1"/>
  <c r="AC22" i="24"/>
  <c r="AC26" i="24"/>
  <c r="AC15" i="24" l="1"/>
  <c r="R23" i="21"/>
  <c r="Q23" i="21"/>
  <c r="P23" i="21"/>
  <c r="R20" i="21"/>
  <c r="Q20" i="21"/>
  <c r="P20" i="21"/>
  <c r="I63" i="21"/>
  <c r="S23" i="21" l="1"/>
  <c r="AR23" i="21"/>
  <c r="S20" i="21"/>
  <c r="AR20" i="21"/>
  <c r="AS23" i="21"/>
  <c r="U23" i="21"/>
  <c r="Y23" i="21" s="1"/>
  <c r="AS20" i="21"/>
  <c r="U20" i="21"/>
  <c r="P63" i="21"/>
  <c r="Q63" i="21"/>
  <c r="R63" i="21"/>
  <c r="T20" i="21"/>
  <c r="X20" i="21" s="1"/>
  <c r="T23" i="21"/>
  <c r="X23" i="21" s="1"/>
  <c r="AS63" i="21" l="1"/>
  <c r="AR63" i="21"/>
  <c r="Y20" i="21"/>
  <c r="Y63" i="21" s="1"/>
  <c r="U63" i="21"/>
  <c r="S63" i="21"/>
  <c r="T63" i="21"/>
  <c r="K63" i="21"/>
  <c r="V23" i="21"/>
  <c r="V20" i="21"/>
  <c r="W23" i="21" l="1"/>
  <c r="AZ23" i="21" s="1"/>
  <c r="W20" i="21"/>
  <c r="X63" i="21"/>
  <c r="V63" i="21"/>
  <c r="W63" i="21" l="1"/>
  <c r="L14" i="8" l="1"/>
  <c r="N14" i="8" s="1"/>
  <c r="T14" i="8" s="1"/>
  <c r="AZ20" i="21" l="1"/>
  <c r="L10" i="8" l="1"/>
  <c r="L9" i="8"/>
  <c r="L16" i="8" s="1"/>
  <c r="N9" i="8" l="1"/>
  <c r="L57" i="26"/>
  <c r="L66" i="26" s="1"/>
  <c r="N10" i="8"/>
  <c r="T10" i="8" s="1"/>
  <c r="N16" i="8" l="1"/>
  <c r="M57" i="26" s="1"/>
  <c r="M66" i="26"/>
  <c r="O9" i="8"/>
  <c r="O16" i="8" l="1"/>
  <c r="N57" i="26" s="1"/>
  <c r="S9" i="8"/>
  <c r="N66" i="26"/>
  <c r="T9" i="8" l="1"/>
  <c r="T16" i="8" s="1"/>
  <c r="AH57" i="26" s="1"/>
  <c r="S16" i="8"/>
  <c r="AG57" i="26" s="1"/>
  <c r="AG66" i="26" s="1"/>
  <c r="AY63" i="21"/>
  <c r="AZ19" i="21"/>
</calcChain>
</file>

<file path=xl/sharedStrings.xml><?xml version="1.0" encoding="utf-8"?>
<sst xmlns="http://schemas.openxmlformats.org/spreadsheetml/2006/main" count="1090" uniqueCount="312">
  <si>
    <t xml:space="preserve">№ </t>
  </si>
  <si>
    <t>Ф.И.О. полностью</t>
  </si>
  <si>
    <t>БДО</t>
  </si>
  <si>
    <t>Оклад</t>
  </si>
  <si>
    <t>нагрузка в часах</t>
  </si>
  <si>
    <t xml:space="preserve">ставки по нагрузке </t>
  </si>
  <si>
    <t xml:space="preserve">сумма зарплаты по нагрузке </t>
  </si>
  <si>
    <t>часы</t>
  </si>
  <si>
    <t>%</t>
  </si>
  <si>
    <t>Сумма</t>
  </si>
  <si>
    <t>25% сельских</t>
  </si>
  <si>
    <t>Оклад с учеом сельских</t>
  </si>
  <si>
    <t>сумма</t>
  </si>
  <si>
    <t>За совмещение должностей (расширение зоны обслуживания)</t>
  </si>
  <si>
    <t xml:space="preserve">За особые условия труда </t>
  </si>
  <si>
    <t>За углубленное изучение отдельных предметов</t>
  </si>
  <si>
    <t xml:space="preserve">Доплата за ученную степень </t>
  </si>
  <si>
    <t>Категория по аттестации</t>
  </si>
  <si>
    <t>Итого заработной платы по учебной нагрузке</t>
  </si>
  <si>
    <t xml:space="preserve">Директор </t>
  </si>
  <si>
    <t>Гл.бухгалтер</t>
  </si>
  <si>
    <t>Итого по доплатам</t>
  </si>
  <si>
    <t>Итого ставок по нагрузке</t>
  </si>
  <si>
    <t>Итого нагрузки в часах</t>
  </si>
  <si>
    <t>ВСЕГО заработная плата в месяц</t>
  </si>
  <si>
    <t>Х</t>
  </si>
  <si>
    <t xml:space="preserve">Коэффициент </t>
  </si>
  <si>
    <t>Категория должностей</t>
  </si>
  <si>
    <t>Экономист</t>
  </si>
  <si>
    <t>(подпись)</t>
  </si>
  <si>
    <t>(расшифровка подписи)</t>
  </si>
  <si>
    <t xml:space="preserve">Итого заработной платы </t>
  </si>
  <si>
    <t xml:space="preserve">Кол-во часов работы </t>
  </si>
  <si>
    <t>кол-во ставок</t>
  </si>
  <si>
    <t xml:space="preserve">За класную квалификацию </t>
  </si>
  <si>
    <t>За работу на тяжелых физич работах и работах с вредными и опасными условиями труда</t>
  </si>
  <si>
    <t>За работу в ночное время</t>
  </si>
  <si>
    <t>Категория должностей, разряд</t>
  </si>
  <si>
    <t>Должность</t>
  </si>
  <si>
    <t>Директор</t>
  </si>
  <si>
    <t>Итого</t>
  </si>
  <si>
    <t>Число классов</t>
  </si>
  <si>
    <t>Число классов комплектов</t>
  </si>
  <si>
    <t xml:space="preserve">Число учащихся </t>
  </si>
  <si>
    <t xml:space="preserve">дополнительные часы </t>
  </si>
  <si>
    <t>кол</t>
  </si>
  <si>
    <t xml:space="preserve">Образование </t>
  </si>
  <si>
    <t>Образование</t>
  </si>
  <si>
    <t>Стаж (годы, месяцы, дни)</t>
  </si>
  <si>
    <t>Доплаты и надбавки</t>
  </si>
  <si>
    <t>тарифная часть</t>
  </si>
  <si>
    <t>высшее</t>
  </si>
  <si>
    <t>воспитатель</t>
  </si>
  <si>
    <t>высшая</t>
  </si>
  <si>
    <t>ср.спец</t>
  </si>
  <si>
    <t xml:space="preserve">Лаврова Татьяна Николаевна </t>
  </si>
  <si>
    <t xml:space="preserve">Шарипова Куляш Оспановна </t>
  </si>
  <si>
    <t>***</t>
  </si>
  <si>
    <t>повар</t>
  </si>
  <si>
    <t xml:space="preserve">Уборщики служебных помещений </t>
  </si>
  <si>
    <t>Сторож</t>
  </si>
  <si>
    <t>оператор стиральных машин</t>
  </si>
  <si>
    <t xml:space="preserve">кухонный работник </t>
  </si>
  <si>
    <t>"С О Г Л А С О В А Н О"</t>
  </si>
  <si>
    <t>"У Т В Е Р Ж Д А Ю"</t>
  </si>
  <si>
    <t xml:space="preserve">Общее число часов </t>
  </si>
  <si>
    <t>число часов по уч.плану</t>
  </si>
  <si>
    <t xml:space="preserve">Заведующая библиотекой </t>
  </si>
  <si>
    <t xml:space="preserve">Экономист </t>
  </si>
  <si>
    <t>Социальный педагог</t>
  </si>
  <si>
    <t xml:space="preserve">Медицинская сестра круглосуточного дежурства </t>
  </si>
  <si>
    <t>Кладовщик</t>
  </si>
  <si>
    <t xml:space="preserve">Кастелянша </t>
  </si>
  <si>
    <t>Водитель</t>
  </si>
  <si>
    <t xml:space="preserve">Рабочий по комплексному обслуживанию и ремонту зданий </t>
  </si>
  <si>
    <t>Делопроизводитель (секретарь)</t>
  </si>
  <si>
    <t>Музыкальный руководитель</t>
  </si>
  <si>
    <t xml:space="preserve">Диетическая сестра </t>
  </si>
  <si>
    <t>Электромонтер</t>
  </si>
  <si>
    <t xml:space="preserve">Дворник </t>
  </si>
  <si>
    <t>Обучение на дому</t>
  </si>
  <si>
    <t>б/к</t>
  </si>
  <si>
    <t xml:space="preserve">___________________  </t>
  </si>
  <si>
    <t xml:space="preserve">Грузчик </t>
  </si>
  <si>
    <t>Оплата в празднич дни</t>
  </si>
  <si>
    <t xml:space="preserve">За сверхурочную работу праздничные дни </t>
  </si>
  <si>
    <t>Ежемесячная надбавка к должностным окладам -10% РБ</t>
  </si>
  <si>
    <t>ср. спец.</t>
  </si>
  <si>
    <t>Мустафина А.А.</t>
  </si>
  <si>
    <t>кол-во став</t>
  </si>
  <si>
    <t>Повар</t>
  </si>
  <si>
    <t>Рабочий по комплексному обслуживанию и ремонту зданий</t>
  </si>
  <si>
    <t>Нургалиева К.К.</t>
  </si>
  <si>
    <t>В4-3</t>
  </si>
  <si>
    <t>В3-4</t>
  </si>
  <si>
    <t>В3-1</t>
  </si>
  <si>
    <t>свыше 25 лет</t>
  </si>
  <si>
    <t>B4-4</t>
  </si>
  <si>
    <t>B4-1</t>
  </si>
  <si>
    <t>B3-2</t>
  </si>
  <si>
    <t>B3-3</t>
  </si>
  <si>
    <t>B3-4</t>
  </si>
  <si>
    <t>B3-1</t>
  </si>
  <si>
    <t>B4-3</t>
  </si>
  <si>
    <t>B2-3</t>
  </si>
  <si>
    <t>B2-4</t>
  </si>
  <si>
    <t>B2-1</t>
  </si>
  <si>
    <t>B2-2</t>
  </si>
  <si>
    <t>В4-4</t>
  </si>
  <si>
    <t>В3-3</t>
  </si>
  <si>
    <t>Доплата за квалификационный уровень</t>
  </si>
  <si>
    <t>А1-2</t>
  </si>
  <si>
    <t>А1-2-1</t>
  </si>
  <si>
    <t>А2-2</t>
  </si>
  <si>
    <t>А2-2-1</t>
  </si>
  <si>
    <t>Ахмадиева Б.Ш.</t>
  </si>
  <si>
    <t>Инженер по обслуживанию оборудования</t>
  </si>
  <si>
    <t>Педагог-психолог</t>
  </si>
  <si>
    <t>В2-1</t>
  </si>
  <si>
    <t>За работу с библиотечным фондом учебников</t>
  </si>
  <si>
    <t>Архивариус</t>
  </si>
  <si>
    <t>Бухгалтер</t>
  </si>
  <si>
    <t>Всего заработная плата в месяц</t>
  </si>
  <si>
    <t>Переводчик</t>
  </si>
  <si>
    <t>В4-1</t>
  </si>
  <si>
    <t>Шаймерденова Г.К.</t>
  </si>
  <si>
    <t>Методист</t>
  </si>
  <si>
    <t>Костюмер</t>
  </si>
  <si>
    <t>Парикмахер</t>
  </si>
  <si>
    <t>Заместитель директора по АХЧ</t>
  </si>
  <si>
    <t>Дефектолог</t>
  </si>
  <si>
    <t>№ п/п</t>
  </si>
  <si>
    <t>20,03,05</t>
  </si>
  <si>
    <t>Банщик</t>
  </si>
  <si>
    <t xml:space="preserve">помощник воспитателя </t>
  </si>
  <si>
    <t>Жанбулатова К.А.</t>
  </si>
  <si>
    <t>02,02,08</t>
  </si>
  <si>
    <t>Учитель географии</t>
  </si>
  <si>
    <t>Учитель информатики</t>
  </si>
  <si>
    <t>Оклад с учетом сельских</t>
  </si>
  <si>
    <t>Заместитель директора по информатизации</t>
  </si>
  <si>
    <t>07,04,01</t>
  </si>
  <si>
    <t>08,00,27</t>
  </si>
  <si>
    <t>05,04,22</t>
  </si>
  <si>
    <t>D1</t>
  </si>
  <si>
    <t>29,06,16</t>
  </si>
  <si>
    <t>В2-4</t>
  </si>
  <si>
    <t xml:space="preserve">Приложение к штатному расписанию административно-хозяйственного персонала на 1 сентября 2019 года </t>
  </si>
  <si>
    <t>17,08,08</t>
  </si>
  <si>
    <t>15,09,19</t>
  </si>
  <si>
    <t>05,05,17</t>
  </si>
  <si>
    <t>19,08,01</t>
  </si>
  <si>
    <t>09,00,06</t>
  </si>
  <si>
    <t>22,01,01</t>
  </si>
  <si>
    <t>23,01,13</t>
  </si>
  <si>
    <t>10,11,24</t>
  </si>
  <si>
    <t>09,08,00</t>
  </si>
  <si>
    <t>04,00,00</t>
  </si>
  <si>
    <t>02,08,19</t>
  </si>
  <si>
    <t>01,10,16</t>
  </si>
  <si>
    <t>02,07,22</t>
  </si>
  <si>
    <t>09,02,00</t>
  </si>
  <si>
    <t>1-4</t>
  </si>
  <si>
    <t>5-9</t>
  </si>
  <si>
    <t>10-12</t>
  </si>
  <si>
    <t>-</t>
  </si>
  <si>
    <t>Показатели на начало уч. года</t>
  </si>
  <si>
    <t>19,09,16</t>
  </si>
  <si>
    <t>16,07,20</t>
  </si>
  <si>
    <t>05,11,07</t>
  </si>
  <si>
    <t>03,11,09</t>
  </si>
  <si>
    <t>Ежемесячная надбавка к ДО 10%</t>
  </si>
  <si>
    <t>01,00,00</t>
  </si>
  <si>
    <t>03,00,25</t>
  </si>
  <si>
    <t>пед-модер</t>
  </si>
  <si>
    <t>Директор  КГУ Специальная (коррекционная) школа-интернат № 1 для детей с ограниченными возможностями в развитии акимата СКО МОН РК</t>
  </si>
  <si>
    <t>Зам. руководителя КГУ Управления образования акимата СКО</t>
  </si>
  <si>
    <t xml:space="preserve">       __________________                    А.А.Мустафина</t>
  </si>
  <si>
    <t>23,06,21</t>
  </si>
  <si>
    <t>1-4 кл</t>
  </si>
  <si>
    <t>5-9 кл</t>
  </si>
  <si>
    <t>10-11 кл</t>
  </si>
  <si>
    <t xml:space="preserve">Ежемесячная надбавка к ДО 10% </t>
  </si>
  <si>
    <t>За проверку тетрадей и письменных работ в 1-4 кл</t>
  </si>
  <si>
    <t>За проверку тетрадей и письменных работ в 5-9 кл</t>
  </si>
  <si>
    <t>За проверку тетрадей и письменных работ в 10-11 (12) кл</t>
  </si>
  <si>
    <t>05,00,00</t>
  </si>
  <si>
    <t>08,11,08</t>
  </si>
  <si>
    <t>13,11,23</t>
  </si>
  <si>
    <t>06,10,00</t>
  </si>
  <si>
    <t>23,06,14</t>
  </si>
  <si>
    <t>23,05,30</t>
  </si>
  <si>
    <t>17,07,30</t>
  </si>
  <si>
    <t>04,04,29</t>
  </si>
  <si>
    <t>24,10,19</t>
  </si>
  <si>
    <t>10,04,25</t>
  </si>
  <si>
    <t>21,00,12</t>
  </si>
  <si>
    <t>08,00,00</t>
  </si>
  <si>
    <t>22,11,14</t>
  </si>
  <si>
    <t>08,00,01</t>
  </si>
  <si>
    <t>10,00,03</t>
  </si>
  <si>
    <t>13,09,21</t>
  </si>
  <si>
    <t>10,04,03</t>
  </si>
  <si>
    <t>22,01,19</t>
  </si>
  <si>
    <t>18,00,00</t>
  </si>
  <si>
    <t>20,09,07</t>
  </si>
  <si>
    <t>08,08,26</t>
  </si>
  <si>
    <t>15,06,02</t>
  </si>
  <si>
    <t>07,07,27</t>
  </si>
  <si>
    <t>22,00,00</t>
  </si>
  <si>
    <t>16,00,00</t>
  </si>
  <si>
    <t>12,07,00</t>
  </si>
  <si>
    <t>13,08,24</t>
  </si>
  <si>
    <t>06,00,00</t>
  </si>
  <si>
    <t>14,06,06</t>
  </si>
  <si>
    <t>16,01,02</t>
  </si>
  <si>
    <t>15,11,26</t>
  </si>
  <si>
    <t>03,11,29</t>
  </si>
  <si>
    <t>05,06,19</t>
  </si>
  <si>
    <t>21,07,21</t>
  </si>
  <si>
    <t>06,00,12</t>
  </si>
  <si>
    <t>19,11,09</t>
  </si>
  <si>
    <t>01,08,22</t>
  </si>
  <si>
    <t>Главный бухгалтер</t>
  </si>
  <si>
    <t>Менеджер по ГЗ</t>
  </si>
  <si>
    <t>Логопед</t>
  </si>
  <si>
    <t xml:space="preserve">Педагог дополнительного образования </t>
  </si>
  <si>
    <t xml:space="preserve">Экспедитор </t>
  </si>
  <si>
    <t>Помощник воспитателя</t>
  </si>
  <si>
    <t xml:space="preserve">Вахтер </t>
  </si>
  <si>
    <t>Специалист по программному обучению</t>
  </si>
  <si>
    <t>Оператор стиральных машин</t>
  </si>
  <si>
    <t>Педагог-организатор</t>
  </si>
  <si>
    <t>пед-мод</t>
  </si>
  <si>
    <t>04,07,03</t>
  </si>
  <si>
    <t>03,00,00</t>
  </si>
  <si>
    <t>С2</t>
  </si>
  <si>
    <t>С1</t>
  </si>
  <si>
    <t>С3</t>
  </si>
  <si>
    <t>Уборщик служебных помещений</t>
  </si>
  <si>
    <t>Кухонный работник</t>
  </si>
  <si>
    <t>03,11,18</t>
  </si>
  <si>
    <t>Мл. мед. персонал</t>
  </si>
  <si>
    <t>22,07,00</t>
  </si>
  <si>
    <t>03,10,09</t>
  </si>
  <si>
    <t>11,10,11</t>
  </si>
  <si>
    <t>Учитель рус. языка и литературы</t>
  </si>
  <si>
    <t>Учитель трудового обучения</t>
  </si>
  <si>
    <t>Учитель каз. языка</t>
  </si>
  <si>
    <t>Учитель технологии, труд. обучение</t>
  </si>
  <si>
    <t>Учитель Н/О 4кл</t>
  </si>
  <si>
    <t>Учитель Н/О 6кл</t>
  </si>
  <si>
    <t>Учитель Н/О 1,5 кл</t>
  </si>
  <si>
    <t>Учитель Н/О 4 кл</t>
  </si>
  <si>
    <t>Учитель Н/О 5,7 кл</t>
  </si>
  <si>
    <t>Учитель Н/О 7,8 кл</t>
  </si>
  <si>
    <t>Учитель Н/О 6Ә, 8 кл</t>
  </si>
  <si>
    <t>Учитель Н/О 5,6,8кл</t>
  </si>
  <si>
    <t>Учитель Н/О 2кл</t>
  </si>
  <si>
    <t>Учитель Н/О 5,8 кл</t>
  </si>
  <si>
    <t>Учитель физкультуры</t>
  </si>
  <si>
    <t>Учитель ИЗО</t>
  </si>
  <si>
    <t>Учитель СБО, Учитель Н/О 4В</t>
  </si>
  <si>
    <t>01,01,05</t>
  </si>
  <si>
    <t xml:space="preserve"> Зам. директора по АХЧ</t>
  </si>
  <si>
    <t>Зам. директора по АХЧ</t>
  </si>
  <si>
    <t>Зам. директора по ВР</t>
  </si>
  <si>
    <t>Зам. директора по УР</t>
  </si>
  <si>
    <t>Учитель нач.кл., 1Б кл</t>
  </si>
  <si>
    <t>Учитель нач. классов, 1А кл</t>
  </si>
  <si>
    <t>Учитель нач.классов 3кл, КПД 4Бкл, РПСП 8кл</t>
  </si>
  <si>
    <t>Учитель нач. кл. 4А кл</t>
  </si>
  <si>
    <t>Учитель нач. классов, 4Ә кл</t>
  </si>
  <si>
    <t>Учитель нач.кл., 4Б кл, СБО 5,6Б,7,8кл</t>
  </si>
  <si>
    <t>Учитель 8кл</t>
  </si>
  <si>
    <t>Учитель музыки, ритмика</t>
  </si>
  <si>
    <t>Учитель математики, Н/О 5кл</t>
  </si>
  <si>
    <t>Учитель математики, Н/О 4В кл</t>
  </si>
  <si>
    <t>Учитель нач. классов, 2кл, Учитель Н/О 6Б кл</t>
  </si>
  <si>
    <t>Учитель Н/О 1Б, 5кл</t>
  </si>
  <si>
    <t>Учитель нач. классов 4В кл, 6Б</t>
  </si>
  <si>
    <t>Учитель 3, 5, 4В кл</t>
  </si>
  <si>
    <t>Учитель 1А, 4А, 6Ә, 4Ә кл</t>
  </si>
  <si>
    <t>Учитель 2,7,8 кл</t>
  </si>
  <si>
    <t>Данышпандар мектебі</t>
  </si>
  <si>
    <t>Қолданбалы колөнер</t>
  </si>
  <si>
    <t>Асыл мұра</t>
  </si>
  <si>
    <t>Фантазия</t>
  </si>
  <si>
    <t>Волшебная нить</t>
  </si>
  <si>
    <t>Затейники</t>
  </si>
  <si>
    <t>Мир вокруг нас</t>
  </si>
  <si>
    <t>BIO краеведы</t>
  </si>
  <si>
    <t>Қызықты математика</t>
  </si>
  <si>
    <t>Жас жайдарманшы</t>
  </si>
  <si>
    <t>Урок нравственности</t>
  </si>
  <si>
    <t>За классное руководство (1-4кл)</t>
  </si>
  <si>
    <t>За классное руководство (5-9кл)</t>
  </si>
  <si>
    <t>За работу в праздничные дни</t>
  </si>
  <si>
    <t>Тарификационный список учителей КГУ "Специальная (коррекционная) школа-интернат № 1 для детей с ограниченными возможностями в развитии"акимата СКО Министерства образования и науки РК</t>
  </si>
  <si>
    <t>на 1 сентября 2019 года</t>
  </si>
  <si>
    <t>Штатное расписание административно-хозяйственного персонала  КГУ "Специальная (коррекционная) школа-интернат № 1 для детей сограниченными возможностями в развитии" акимата СКО Министерства образования и науки РК</t>
  </si>
  <si>
    <t>Приложение к штатному расписанию административно-хозяйственного персонала  КГУ "Специальная (коррекционная) школа-интернат № 1 для детей с ограниченными возможностями в  развитии" акимата СКО Министерства образования и науки РК</t>
  </si>
  <si>
    <t>05,03,16</t>
  </si>
  <si>
    <t>04,04,04</t>
  </si>
  <si>
    <t>11,02,24</t>
  </si>
  <si>
    <t>Заместитель директора по ВР</t>
  </si>
  <si>
    <t xml:space="preserve"> Заместитель директора по УР</t>
  </si>
  <si>
    <t>20,01,00</t>
  </si>
  <si>
    <t>КНРР 5кл</t>
  </si>
  <si>
    <t>Слесарь-сантехник</t>
  </si>
  <si>
    <t>Врач-педиатр</t>
  </si>
  <si>
    <t>Врач-психиатр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</si>
</sst>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33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.5"/>
      <name val="Times New Roman"/>
      <family val="1"/>
      <charset val="204"/>
    </font>
    <font>
      <sz val="10.5"/>
      <color indexed="23"/>
      <name val="Times New Roman"/>
      <family val="1"/>
      <charset val="204"/>
    </font>
    <font>
      <b/>
      <sz val="10.5"/>
      <name val="Times New Roman"/>
      <family val="1"/>
      <charset val="204"/>
    </font>
    <font>
      <b/>
      <sz val="10.5"/>
      <color indexed="12"/>
      <name val="Times New Roman"/>
      <family val="1"/>
      <charset val="204"/>
    </font>
    <font>
      <sz val="10.5"/>
      <color indexed="54"/>
      <name val="Times New Roman"/>
      <family val="1"/>
      <charset val="204"/>
    </font>
    <font>
      <b/>
      <i/>
      <sz val="10.5"/>
      <name val="Times New Roman"/>
      <family val="1"/>
      <charset val="204"/>
    </font>
    <font>
      <b/>
      <sz val="10"/>
      <color indexed="9"/>
      <name val="Times New Roman"/>
      <family val="1"/>
      <charset val="204"/>
    </font>
    <font>
      <sz val="10.5"/>
      <color indexed="9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5">
    <xf numFmtId="0" fontId="0" fillId="0" borderId="0" xfId="0"/>
    <xf numFmtId="0" fontId="2" fillId="0" borderId="0" xfId="0" applyFont="1" applyFill="1"/>
    <xf numFmtId="0" fontId="1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1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" fontId="5" fillId="0" borderId="0" xfId="0" applyNumberFormat="1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wrapText="1"/>
    </xf>
    <xf numFmtId="1" fontId="5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left"/>
    </xf>
    <xf numFmtId="1" fontId="6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164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9" fontId="10" fillId="0" borderId="0" xfId="0" applyNumberFormat="1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Alignment="1">
      <alignment horizontal="center"/>
    </xf>
    <xf numFmtId="2" fontId="9" fillId="0" borderId="0" xfId="0" applyNumberFormat="1" applyFont="1" applyFill="1" applyAlignment="1">
      <alignment horizontal="center"/>
    </xf>
    <xf numFmtId="1" fontId="9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left"/>
    </xf>
    <xf numFmtId="1" fontId="11" fillId="0" borderId="0" xfId="0" applyNumberFormat="1" applyFont="1" applyFill="1" applyAlignment="1">
      <alignment horizontal="center"/>
    </xf>
    <xf numFmtId="2" fontId="11" fillId="0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6" fillId="0" borderId="0" xfId="0" applyFont="1" applyFill="1" applyAlignment="1">
      <alignment horizontal="left"/>
    </xf>
    <xf numFmtId="0" fontId="16" fillId="0" borderId="0" xfId="0" applyFont="1" applyFill="1" applyAlignment="1">
      <alignment horizontal="center"/>
    </xf>
    <xf numFmtId="0" fontId="4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1" fontId="9" fillId="0" borderId="1" xfId="0" applyNumberFormat="1" applyFont="1" applyFill="1" applyBorder="1" applyAlignment="1">
      <alignment horizontal="center" wrapText="1"/>
    </xf>
    <xf numFmtId="2" fontId="9" fillId="0" borderId="1" xfId="0" applyNumberFormat="1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1" fontId="6" fillId="0" borderId="0" xfId="0" applyNumberFormat="1" applyFont="1" applyFill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19" fillId="0" borderId="0" xfId="0" applyFont="1" applyFill="1"/>
    <xf numFmtId="0" fontId="17" fillId="0" borderId="0" xfId="0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1" fontId="20" fillId="0" borderId="3" xfId="0" applyNumberFormat="1" applyFont="1" applyFill="1" applyBorder="1" applyAlignment="1">
      <alignment horizontal="center"/>
    </xf>
    <xf numFmtId="1" fontId="20" fillId="0" borderId="0" xfId="0" applyNumberFormat="1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1" fillId="0" borderId="0" xfId="0" applyFont="1" applyFill="1"/>
    <xf numFmtId="0" fontId="21" fillId="0" borderId="1" xfId="0" applyFont="1" applyFill="1" applyBorder="1" applyAlignment="1">
      <alignment horizontal="center" wrapText="1"/>
    </xf>
    <xf numFmtId="0" fontId="21" fillId="0" borderId="2" xfId="0" applyFont="1" applyFill="1" applyBorder="1" applyAlignment="1">
      <alignment horizontal="center" wrapText="1"/>
    </xf>
    <xf numFmtId="0" fontId="21" fillId="0" borderId="1" xfId="0" applyNumberFormat="1" applyFont="1" applyFill="1" applyBorder="1" applyAlignment="1">
      <alignment horizontal="center" wrapText="1"/>
    </xf>
    <xf numFmtId="1" fontId="21" fillId="0" borderId="1" xfId="0" applyNumberFormat="1" applyFont="1" applyFill="1" applyBorder="1" applyAlignment="1">
      <alignment horizontal="center" wrapText="1"/>
    </xf>
    <xf numFmtId="1" fontId="6" fillId="0" borderId="1" xfId="0" applyNumberFormat="1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 wrapText="1"/>
    </xf>
    <xf numFmtId="1" fontId="6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0" fontId="20" fillId="0" borderId="0" xfId="0" applyFont="1" applyFill="1" applyAlignment="1">
      <alignment horizontal="left"/>
    </xf>
    <xf numFmtId="0" fontId="21" fillId="0" borderId="0" xfId="0" applyFont="1" applyFill="1" applyAlignment="1">
      <alignment horizontal="left"/>
    </xf>
    <xf numFmtId="0" fontId="22" fillId="0" borderId="0" xfId="0" applyFont="1" applyFill="1" applyAlignment="1">
      <alignment horizontal="left"/>
    </xf>
    <xf numFmtId="9" fontId="21" fillId="0" borderId="0" xfId="0" applyNumberFormat="1" applyFont="1" applyFill="1" applyAlignment="1">
      <alignment horizontal="center"/>
    </xf>
    <xf numFmtId="0" fontId="20" fillId="0" borderId="0" xfId="0" applyFont="1" applyFill="1"/>
    <xf numFmtId="2" fontId="20" fillId="0" borderId="0" xfId="0" applyNumberFormat="1" applyFont="1" applyFill="1" applyAlignment="1">
      <alignment horizontal="center"/>
    </xf>
    <xf numFmtId="0" fontId="24" fillId="0" borderId="0" xfId="0" applyFont="1" applyFill="1"/>
    <xf numFmtId="1" fontId="21" fillId="0" borderId="0" xfId="0" applyNumberFormat="1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21" fillId="2" borderId="0" xfId="0" applyFont="1" applyFill="1" applyAlignment="1">
      <alignment horizontal="center"/>
    </xf>
    <xf numFmtId="0" fontId="6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24" fillId="0" borderId="0" xfId="0" applyFont="1" applyFill="1" applyBorder="1"/>
    <xf numFmtId="0" fontId="5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6" fillId="0" borderId="0" xfId="0" applyFont="1" applyFill="1" applyAlignment="1"/>
    <xf numFmtId="1" fontId="6" fillId="0" borderId="3" xfId="0" applyNumberFormat="1" applyFont="1" applyFill="1" applyBorder="1" applyAlignment="1">
      <alignment horizontal="center"/>
    </xf>
    <xf numFmtId="0" fontId="5" fillId="0" borderId="0" xfId="0" applyFont="1" applyFill="1" applyAlignment="1"/>
    <xf numFmtId="0" fontId="6" fillId="0" borderId="0" xfId="0" applyFont="1" applyFill="1" applyBorder="1" applyAlignment="1">
      <alignment horizontal="center" wrapText="1"/>
    </xf>
    <xf numFmtId="14" fontId="9" fillId="0" borderId="1" xfId="0" applyNumberFormat="1" applyFont="1" applyFill="1" applyBorder="1" applyAlignment="1">
      <alignment horizontal="center"/>
    </xf>
    <xf numFmtId="49" fontId="18" fillId="0" borderId="1" xfId="0" applyNumberFormat="1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wrapText="1"/>
    </xf>
    <xf numFmtId="2" fontId="5" fillId="0" borderId="1" xfId="0" applyNumberFormat="1" applyFont="1" applyFill="1" applyBorder="1" applyAlignment="1">
      <alignment horizontal="center" wrapText="1"/>
    </xf>
    <xf numFmtId="0" fontId="15" fillId="0" borderId="0" xfId="0" applyFont="1" applyFill="1" applyAlignment="1">
      <alignment horizontal="left"/>
    </xf>
    <xf numFmtId="0" fontId="21" fillId="0" borderId="1" xfId="0" applyFont="1" applyFill="1" applyBorder="1" applyAlignment="1">
      <alignment horizontal="center"/>
    </xf>
    <xf numFmtId="49" fontId="23" fillId="0" borderId="1" xfId="0" applyNumberFormat="1" applyFont="1" applyFill="1" applyBorder="1" applyAlignment="1">
      <alignment horizontal="center"/>
    </xf>
    <xf numFmtId="2" fontId="21" fillId="0" borderId="1" xfId="0" applyNumberFormat="1" applyFont="1" applyFill="1" applyBorder="1" applyAlignment="1">
      <alignment horizontal="center"/>
    </xf>
    <xf numFmtId="0" fontId="21" fillId="0" borderId="0" xfId="0" applyFont="1"/>
    <xf numFmtId="0" fontId="11" fillId="0" borderId="0" xfId="0" applyFont="1" applyFill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1" fontId="5" fillId="0" borderId="1" xfId="0" applyNumberFormat="1" applyFont="1" applyFill="1" applyBorder="1" applyAlignment="1" applyProtection="1">
      <alignment horizontal="center" wrapText="1"/>
    </xf>
    <xf numFmtId="0" fontId="5" fillId="0" borderId="0" xfId="0" applyFont="1" applyFill="1" applyAlignment="1">
      <alignment horizontal="left"/>
    </xf>
    <xf numFmtId="0" fontId="5" fillId="0" borderId="1" xfId="0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 wrapText="1"/>
    </xf>
    <xf numFmtId="165" fontId="5" fillId="0" borderId="1" xfId="0" applyNumberFormat="1" applyFont="1" applyFill="1" applyBorder="1" applyAlignment="1">
      <alignment horizontal="center" wrapText="1"/>
    </xf>
    <xf numFmtId="0" fontId="0" fillId="0" borderId="0" xfId="0" applyAlignment="1"/>
    <xf numFmtId="0" fontId="9" fillId="0" borderId="0" xfId="0" applyFont="1" applyFill="1" applyAlignment="1"/>
    <xf numFmtId="0" fontId="11" fillId="0" borderId="0" xfId="0" applyFont="1" applyFill="1" applyAlignment="1"/>
    <xf numFmtId="0" fontId="10" fillId="0" borderId="0" xfId="0" applyFont="1" applyFill="1" applyAlignment="1"/>
    <xf numFmtId="9" fontId="10" fillId="0" borderId="0" xfId="0" applyNumberFormat="1" applyFont="1" applyFill="1" applyAlignment="1"/>
    <xf numFmtId="0" fontId="6" fillId="0" borderId="1" xfId="0" applyFont="1" applyFill="1" applyBorder="1" applyAlignment="1"/>
    <xf numFmtId="0" fontId="6" fillId="0" borderId="0" xfId="0" applyFont="1" applyFill="1" applyBorder="1" applyAlignment="1"/>
    <xf numFmtId="0" fontId="14" fillId="0" borderId="0" xfId="0" applyFont="1" applyFill="1" applyAlignment="1"/>
    <xf numFmtId="0" fontId="6" fillId="0" borderId="1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 applyProtection="1">
      <alignment horizontal="center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/>
    <xf numFmtId="0" fontId="2" fillId="0" borderId="1" xfId="0" applyFont="1" applyFill="1" applyBorder="1" applyAlignment="1" applyProtection="1">
      <alignment horizontal="center" wrapText="1"/>
    </xf>
    <xf numFmtId="1" fontId="2" fillId="0" borderId="1" xfId="0" applyNumberFormat="1" applyFont="1" applyFill="1" applyBorder="1" applyAlignment="1">
      <alignment horizontal="center"/>
    </xf>
    <xf numFmtId="0" fontId="28" fillId="0" borderId="0" xfId="0" applyFont="1" applyFill="1" applyAlignment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1" fillId="0" borderId="11" xfId="0" applyFont="1" applyFill="1" applyBorder="1"/>
    <xf numFmtId="0" fontId="2" fillId="0" borderId="0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28" fillId="0" borderId="0" xfId="0" applyFont="1" applyFill="1"/>
    <xf numFmtId="0" fontId="28" fillId="0" borderId="0" xfId="0" applyFont="1" applyFill="1" applyAlignment="1">
      <alignment horizontal="center"/>
    </xf>
    <xf numFmtId="1" fontId="28" fillId="0" borderId="0" xfId="0" applyNumberFormat="1" applyFont="1" applyFill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wrapText="1"/>
    </xf>
    <xf numFmtId="0" fontId="20" fillId="0" borderId="1" xfId="0" applyFont="1" applyFill="1" applyBorder="1" applyAlignment="1">
      <alignment horizontal="center" wrapText="1"/>
    </xf>
    <xf numFmtId="0" fontId="20" fillId="0" borderId="1" xfId="0" applyNumberFormat="1" applyFont="1" applyFill="1" applyBorder="1" applyAlignment="1">
      <alignment horizontal="center" wrapText="1"/>
    </xf>
    <xf numFmtId="1" fontId="20" fillId="0" borderId="1" xfId="0" applyNumberFormat="1" applyFont="1" applyFill="1" applyBorder="1" applyAlignment="1">
      <alignment horizontal="center" wrapText="1"/>
    </xf>
    <xf numFmtId="0" fontId="27" fillId="0" borderId="1" xfId="0" applyNumberFormat="1" applyFont="1" applyFill="1" applyBorder="1" applyAlignment="1">
      <alignment horizontal="center"/>
    </xf>
    <xf numFmtId="0" fontId="29" fillId="0" borderId="0" xfId="0" applyFont="1" applyFill="1" applyBorder="1"/>
    <xf numFmtId="1" fontId="30" fillId="0" borderId="0" xfId="0" applyNumberFormat="1" applyFont="1" applyFill="1" applyAlignment="1">
      <alignment horizontal="center"/>
    </xf>
    <xf numFmtId="0" fontId="30" fillId="0" borderId="0" xfId="0" applyFont="1" applyFill="1" applyAlignment="1">
      <alignment horizontal="center"/>
    </xf>
    <xf numFmtId="0" fontId="29" fillId="0" borderId="0" xfId="0" applyFont="1" applyFill="1"/>
    <xf numFmtId="0" fontId="30" fillId="0" borderId="0" xfId="0" applyFont="1" applyFill="1"/>
    <xf numFmtId="0" fontId="31" fillId="0" borderId="0" xfId="0" applyFont="1" applyFill="1"/>
    <xf numFmtId="0" fontId="1" fillId="0" borderId="0" xfId="0" applyFont="1" applyFill="1" applyAlignment="1">
      <alignment wrapText="1"/>
    </xf>
    <xf numFmtId="49" fontId="6" fillId="0" borderId="6" xfId="0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1" fontId="1" fillId="0" borderId="0" xfId="0" applyNumberFormat="1" applyFont="1" applyFill="1" applyAlignment="1"/>
    <xf numFmtId="0" fontId="3" fillId="0" borderId="0" xfId="0" applyFont="1" applyFill="1" applyAlignment="1"/>
    <xf numFmtId="165" fontId="9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 applyProtection="1">
      <alignment horizontal="center" wrapText="1"/>
    </xf>
    <xf numFmtId="0" fontId="18" fillId="0" borderId="1" xfId="0" applyFont="1" applyFill="1" applyBorder="1" applyAlignment="1">
      <alignment horizontal="center"/>
    </xf>
    <xf numFmtId="1" fontId="18" fillId="0" borderId="1" xfId="0" applyNumberFormat="1" applyFont="1" applyFill="1" applyBorder="1" applyAlignment="1">
      <alignment horizontal="center" wrapText="1"/>
    </xf>
    <xf numFmtId="2" fontId="18" fillId="0" borderId="1" xfId="0" applyNumberFormat="1" applyFont="1" applyFill="1" applyBorder="1" applyAlignment="1">
      <alignment horizontal="center" wrapText="1"/>
    </xf>
    <xf numFmtId="1" fontId="9" fillId="0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18" fillId="0" borderId="1" xfId="0" applyNumberFormat="1" applyFont="1" applyFill="1" applyBorder="1" applyAlignment="1">
      <alignment horizontal="center"/>
    </xf>
    <xf numFmtId="0" fontId="19" fillId="0" borderId="0" xfId="0" applyFont="1" applyFill="1" applyBorder="1" applyAlignment="1"/>
    <xf numFmtId="0" fontId="19" fillId="0" borderId="0" xfId="0" applyFont="1" applyFill="1" applyAlignment="1"/>
    <xf numFmtId="14" fontId="5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9" fontId="18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 applyProtection="1">
      <alignment horizontal="center" wrapText="1"/>
    </xf>
    <xf numFmtId="0" fontId="6" fillId="0" borderId="2" xfId="0" applyNumberFormat="1" applyFont="1" applyFill="1" applyBorder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21" fillId="0" borderId="0" xfId="0" applyFont="1" applyFill="1" applyBorder="1" applyAlignment="1">
      <alignment horizontal="center"/>
    </xf>
    <xf numFmtId="0" fontId="25" fillId="0" borderId="0" xfId="0" applyFont="1" applyFill="1"/>
    <xf numFmtId="164" fontId="21" fillId="0" borderId="0" xfId="0" applyNumberFormat="1" applyFont="1" applyFill="1" applyAlignment="1">
      <alignment horizontal="center"/>
    </xf>
    <xf numFmtId="0" fontId="20" fillId="0" borderId="2" xfId="0" applyFont="1" applyFill="1" applyBorder="1" applyAlignment="1">
      <alignment horizontal="center" wrapText="1"/>
    </xf>
    <xf numFmtId="0" fontId="20" fillId="0" borderId="1" xfId="0" applyFont="1" applyFill="1" applyBorder="1"/>
    <xf numFmtId="0" fontId="20" fillId="0" borderId="1" xfId="0" applyFont="1" applyFill="1" applyBorder="1" applyAlignment="1">
      <alignment horizontal="center"/>
    </xf>
    <xf numFmtId="2" fontId="20" fillId="0" borderId="1" xfId="0" applyNumberFormat="1" applyFont="1" applyFill="1" applyBorder="1" applyAlignment="1">
      <alignment horizontal="center"/>
    </xf>
    <xf numFmtId="1" fontId="20" fillId="0" borderId="1" xfId="0" applyNumberFormat="1" applyFont="1" applyFill="1" applyBorder="1" applyAlignment="1">
      <alignment horizontal="center"/>
    </xf>
    <xf numFmtId="0" fontId="20" fillId="0" borderId="0" xfId="0" applyFont="1" applyFill="1" applyBorder="1"/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21" fillId="0" borderId="1" xfId="0" applyFont="1" applyFill="1" applyBorder="1" applyAlignment="1" applyProtection="1">
      <alignment horizontal="center" wrapText="1"/>
    </xf>
    <xf numFmtId="2" fontId="21" fillId="0" borderId="1" xfId="0" applyNumberFormat="1" applyFont="1" applyFill="1" applyBorder="1" applyAlignment="1" applyProtection="1">
      <alignment horizontal="center"/>
    </xf>
    <xf numFmtId="1" fontId="21" fillId="0" borderId="1" xfId="0" applyNumberFormat="1" applyFont="1" applyFill="1" applyBorder="1" applyAlignment="1" applyProtection="1">
      <alignment horizontal="center" wrapText="1"/>
    </xf>
    <xf numFmtId="2" fontId="21" fillId="0" borderId="1" xfId="0" applyNumberFormat="1" applyFont="1" applyFill="1" applyBorder="1" applyAlignment="1" applyProtection="1">
      <alignment horizontal="center" wrapText="1"/>
    </xf>
    <xf numFmtId="0" fontId="21" fillId="0" borderId="0" xfId="0" applyFont="1" applyAlignment="1"/>
    <xf numFmtId="0" fontId="23" fillId="0" borderId="1" xfId="0" applyFont="1" applyFill="1" applyBorder="1" applyAlignment="1">
      <alignment horizontal="center"/>
    </xf>
    <xf numFmtId="14" fontId="23" fillId="0" borderId="1" xfId="0" applyNumberFormat="1" applyFont="1" applyFill="1" applyBorder="1" applyAlignment="1">
      <alignment horizontal="center" wrapText="1"/>
    </xf>
    <xf numFmtId="0" fontId="21" fillId="0" borderId="1" xfId="0" applyFont="1" applyFill="1" applyBorder="1" applyAlignment="1" applyProtection="1">
      <alignment horizontal="center"/>
    </xf>
    <xf numFmtId="49" fontId="21" fillId="0" borderId="1" xfId="0" applyNumberFormat="1" applyFont="1" applyFill="1" applyBorder="1" applyAlignment="1">
      <alignment horizontal="center" wrapText="1"/>
    </xf>
    <xf numFmtId="2" fontId="21" fillId="0" borderId="1" xfId="0" applyNumberFormat="1" applyFont="1" applyFill="1" applyBorder="1" applyAlignment="1">
      <alignment horizontal="center" wrapText="1"/>
    </xf>
    <xf numFmtId="0" fontId="21" fillId="0" borderId="4" xfId="0" applyFont="1" applyFill="1" applyBorder="1" applyAlignment="1">
      <alignment horizontal="center"/>
    </xf>
    <xf numFmtId="0" fontId="21" fillId="0" borderId="0" xfId="0" applyFont="1" applyFill="1" applyAlignment="1"/>
    <xf numFmtId="2" fontId="23" fillId="0" borderId="1" xfId="0" applyNumberFormat="1" applyFont="1" applyFill="1" applyBorder="1" applyAlignment="1">
      <alignment horizontal="center"/>
    </xf>
    <xf numFmtId="1" fontId="26" fillId="0" borderId="1" xfId="0" applyNumberFormat="1" applyFont="1" applyFill="1" applyBorder="1" applyAlignment="1" applyProtection="1">
      <alignment horizontal="center" wrapText="1"/>
    </xf>
    <xf numFmtId="1" fontId="26" fillId="0" borderId="1" xfId="0" applyNumberFormat="1" applyFont="1" applyFill="1" applyBorder="1" applyAlignment="1">
      <alignment horizontal="center" wrapText="1"/>
    </xf>
    <xf numFmtId="2" fontId="26" fillId="0" borderId="1" xfId="0" applyNumberFormat="1" applyFont="1" applyFill="1" applyBorder="1" applyAlignment="1">
      <alignment horizontal="center" wrapText="1"/>
    </xf>
    <xf numFmtId="1" fontId="25" fillId="0" borderId="1" xfId="0" applyNumberFormat="1" applyFont="1" applyFill="1" applyBorder="1" applyAlignment="1" applyProtection="1">
      <alignment horizontal="center" wrapText="1"/>
    </xf>
    <xf numFmtId="0" fontId="25" fillId="0" borderId="1" xfId="0" applyFont="1" applyFill="1" applyBorder="1" applyAlignment="1">
      <alignment horizontal="center"/>
    </xf>
    <xf numFmtId="1" fontId="25" fillId="0" borderId="1" xfId="0" applyNumberFormat="1" applyFont="1" applyFill="1" applyBorder="1" applyAlignment="1">
      <alignment horizontal="center" wrapText="1"/>
    </xf>
    <xf numFmtId="2" fontId="25" fillId="0" borderId="1" xfId="0" applyNumberFormat="1" applyFont="1" applyFill="1" applyBorder="1" applyAlignment="1">
      <alignment horizontal="center" wrapText="1"/>
    </xf>
    <xf numFmtId="0" fontId="21" fillId="0" borderId="1" xfId="0" applyFont="1" applyFill="1" applyBorder="1" applyAlignment="1" applyProtection="1">
      <alignment wrapText="1"/>
    </xf>
    <xf numFmtId="165" fontId="21" fillId="0" borderId="1" xfId="0" applyNumberFormat="1" applyFont="1" applyFill="1" applyBorder="1" applyAlignment="1" applyProtection="1">
      <alignment horizontal="center" wrapText="1"/>
    </xf>
    <xf numFmtId="0" fontId="21" fillId="0" borderId="0" xfId="0" applyFont="1" applyFill="1" applyBorder="1" applyAlignment="1" applyProtection="1">
      <alignment wrapText="1"/>
    </xf>
    <xf numFmtId="1" fontId="20" fillId="0" borderId="1" xfId="0" applyNumberFormat="1" applyFont="1" applyFill="1" applyBorder="1" applyAlignment="1" applyProtection="1">
      <alignment horizontal="center" wrapText="1"/>
    </xf>
    <xf numFmtId="0" fontId="21" fillId="0" borderId="1" xfId="0" applyFont="1" applyFill="1" applyBorder="1" applyAlignment="1">
      <alignment horizontal="left"/>
    </xf>
    <xf numFmtId="0" fontId="20" fillId="0" borderId="1" xfId="0" applyFont="1" applyFill="1" applyBorder="1" applyAlignment="1" applyProtection="1">
      <alignment horizontal="center" wrapText="1"/>
    </xf>
    <xf numFmtId="2" fontId="20" fillId="0" borderId="1" xfId="0" applyNumberFormat="1" applyFont="1" applyFill="1" applyBorder="1" applyAlignment="1">
      <alignment horizontal="center" wrapText="1"/>
    </xf>
    <xf numFmtId="0" fontId="20" fillId="0" borderId="0" xfId="0" applyFont="1" applyAlignment="1"/>
    <xf numFmtId="2" fontId="20" fillId="0" borderId="1" xfId="0" applyNumberFormat="1" applyFont="1" applyFill="1" applyBorder="1" applyAlignment="1" applyProtection="1">
      <alignment horizontal="center" wrapText="1"/>
    </xf>
    <xf numFmtId="165" fontId="20" fillId="0" borderId="1" xfId="0" applyNumberFormat="1" applyFont="1" applyFill="1" applyBorder="1" applyAlignment="1">
      <alignment horizontal="center" wrapText="1"/>
    </xf>
    <xf numFmtId="165" fontId="20" fillId="0" borderId="1" xfId="0" applyNumberFormat="1" applyFont="1" applyFill="1" applyBorder="1" applyAlignment="1" applyProtection="1">
      <alignment horizontal="center" wrapText="1"/>
    </xf>
    <xf numFmtId="0" fontId="24" fillId="0" borderId="1" xfId="0" applyFont="1" applyFill="1" applyBorder="1" applyAlignment="1">
      <alignment horizontal="center"/>
    </xf>
    <xf numFmtId="1" fontId="24" fillId="0" borderId="1" xfId="0" applyNumberFormat="1" applyFont="1" applyFill="1" applyBorder="1" applyAlignment="1" applyProtection="1">
      <alignment horizontal="center" wrapText="1"/>
    </xf>
    <xf numFmtId="1" fontId="24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 applyProtection="1">
      <alignment wrapText="1"/>
    </xf>
    <xf numFmtId="2" fontId="5" fillId="0" borderId="1" xfId="0" applyNumberFormat="1" applyFont="1" applyFill="1" applyBorder="1" applyAlignment="1" applyProtection="1">
      <alignment horizontal="center"/>
    </xf>
    <xf numFmtId="2" fontId="5" fillId="0" borderId="1" xfId="0" applyNumberFormat="1" applyFont="1" applyFill="1" applyBorder="1" applyAlignment="1" applyProtection="1">
      <alignment horizontal="center" wrapText="1"/>
    </xf>
    <xf numFmtId="165" fontId="5" fillId="0" borderId="1" xfId="0" applyNumberFormat="1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wrapText="1"/>
    </xf>
    <xf numFmtId="0" fontId="6" fillId="0" borderId="1" xfId="0" applyFont="1" applyFill="1" applyBorder="1" applyAlignment="1" applyProtection="1">
      <alignment horizontal="center" wrapText="1"/>
    </xf>
    <xf numFmtId="0" fontId="19" fillId="0" borderId="1" xfId="0" applyFont="1" applyFill="1" applyBorder="1" applyAlignment="1">
      <alignment horizontal="center" wrapText="1"/>
    </xf>
    <xf numFmtId="0" fontId="19" fillId="0" borderId="1" xfId="0" applyFont="1" applyFill="1" applyBorder="1" applyAlignment="1" applyProtection="1">
      <alignment horizontal="center" wrapText="1"/>
    </xf>
    <xf numFmtId="14" fontId="19" fillId="0" borderId="1" xfId="0" applyNumberFormat="1" applyFont="1" applyFill="1" applyBorder="1" applyAlignment="1" applyProtection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1" xfId="0" applyFont="1" applyFill="1" applyBorder="1" applyAlignment="1" applyProtection="1">
      <alignment horizontal="center"/>
    </xf>
    <xf numFmtId="2" fontId="6" fillId="0" borderId="1" xfId="0" applyNumberFormat="1" applyFont="1" applyFill="1" applyBorder="1" applyAlignment="1" applyProtection="1">
      <alignment horizontal="center"/>
    </xf>
    <xf numFmtId="1" fontId="6" fillId="0" borderId="1" xfId="0" applyNumberFormat="1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/>
    <xf numFmtId="0" fontId="5" fillId="0" borderId="1" xfId="0" applyFont="1" applyFill="1" applyBorder="1" applyAlignment="1" applyProtection="1">
      <alignment horizontal="right" wrapText="1"/>
    </xf>
    <xf numFmtId="165" fontId="5" fillId="0" borderId="1" xfId="0" applyNumberFormat="1" applyFont="1" applyFill="1" applyBorder="1" applyAlignment="1">
      <alignment horizontal="center"/>
    </xf>
    <xf numFmtId="0" fontId="5" fillId="0" borderId="0" xfId="0" applyFont="1" applyFill="1" applyBorder="1" applyAlignment="1"/>
    <xf numFmtId="2" fontId="6" fillId="0" borderId="1" xfId="0" applyNumberFormat="1" applyFont="1" applyFill="1" applyBorder="1" applyAlignment="1">
      <alignment horizontal="center" wrapText="1"/>
    </xf>
    <xf numFmtId="0" fontId="7" fillId="0" borderId="0" xfId="0" applyFont="1" applyFill="1" applyBorder="1" applyAlignment="1"/>
    <xf numFmtId="1" fontId="8" fillId="0" borderId="1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/>
    <xf numFmtId="0" fontId="23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center"/>
    </xf>
    <xf numFmtId="9" fontId="2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/>
    <xf numFmtId="0" fontId="20" fillId="0" borderId="3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 vertical="top"/>
    </xf>
    <xf numFmtId="0" fontId="17" fillId="0" borderId="0" xfId="0" applyFont="1" applyFill="1" applyAlignment="1">
      <alignment horizontal="center" vertical="top"/>
    </xf>
    <xf numFmtId="9" fontId="9" fillId="0" borderId="1" xfId="0" applyNumberFormat="1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/>
    </xf>
    <xf numFmtId="49" fontId="5" fillId="0" borderId="1" xfId="0" applyNumberFormat="1" applyFont="1" applyFill="1" applyBorder="1" applyAlignment="1">
      <alignment horizontal="center" wrapText="1"/>
    </xf>
    <xf numFmtId="0" fontId="20" fillId="0" borderId="0" xfId="0" applyFont="1" applyFill="1" applyAlignment="1"/>
    <xf numFmtId="0" fontId="5" fillId="0" borderId="3" xfId="0" applyFont="1" applyFill="1" applyBorder="1" applyAlignment="1">
      <alignment horizontal="center"/>
    </xf>
    <xf numFmtId="0" fontId="20" fillId="0" borderId="3" xfId="0" applyFont="1" applyFill="1" applyBorder="1" applyAlignment="1"/>
    <xf numFmtId="0" fontId="5" fillId="0" borderId="11" xfId="0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0" fontId="6" fillId="0" borderId="6" xfId="0" applyFont="1" applyFill="1" applyBorder="1" applyAlignment="1"/>
    <xf numFmtId="0" fontId="6" fillId="0" borderId="7" xfId="0" applyFont="1" applyFill="1" applyBorder="1" applyAlignment="1"/>
    <xf numFmtId="0" fontId="6" fillId="0" borderId="8" xfId="0" applyFont="1" applyFill="1" applyBorder="1" applyAlignment="1"/>
    <xf numFmtId="0" fontId="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1" fontId="8" fillId="0" borderId="1" xfId="0" applyNumberFormat="1" applyFont="1" applyFill="1" applyBorder="1" applyAlignment="1">
      <alignment horizontal="center" wrapText="1"/>
    </xf>
    <xf numFmtId="2" fontId="5" fillId="3" borderId="1" xfId="0" applyNumberFormat="1" applyFont="1" applyFill="1" applyBorder="1" applyAlignment="1">
      <alignment horizontal="center" wrapText="1"/>
    </xf>
    <xf numFmtId="1" fontId="5" fillId="3" borderId="1" xfId="0" applyNumberFormat="1" applyFont="1" applyFill="1" applyBorder="1" applyAlignment="1">
      <alignment horizontal="center" wrapText="1"/>
    </xf>
    <xf numFmtId="1" fontId="21" fillId="3" borderId="1" xfId="0" applyNumberFormat="1" applyFont="1" applyFill="1" applyBorder="1" applyAlignment="1" applyProtection="1">
      <alignment horizontal="center" wrapText="1"/>
    </xf>
    <xf numFmtId="165" fontId="5" fillId="3" borderId="1" xfId="0" applyNumberFormat="1" applyFont="1" applyFill="1" applyBorder="1" applyAlignment="1">
      <alignment horizontal="center" wrapText="1"/>
    </xf>
    <xf numFmtId="1" fontId="5" fillId="3" borderId="1" xfId="0" applyNumberFormat="1" applyFont="1" applyFill="1" applyBorder="1" applyAlignment="1" applyProtection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20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textRotation="90" wrapText="1"/>
    </xf>
    <xf numFmtId="1" fontId="4" fillId="0" borderId="1" xfId="0" applyNumberFormat="1" applyFont="1" applyFill="1" applyBorder="1" applyAlignment="1">
      <alignment horizontal="center" textRotation="90" wrapText="1"/>
    </xf>
    <xf numFmtId="0" fontId="4" fillId="0" borderId="1" xfId="0" applyFont="1" applyFill="1" applyBorder="1" applyAlignment="1">
      <alignment horizontal="center" wrapText="1"/>
    </xf>
    <xf numFmtId="0" fontId="11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 wrapText="1"/>
    </xf>
    <xf numFmtId="0" fontId="6" fillId="0" borderId="8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20" fillId="0" borderId="0" xfId="0" applyFont="1" applyFill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20" fillId="0" borderId="3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6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horizontal="center" textRotation="90" wrapText="1"/>
    </xf>
    <xf numFmtId="1" fontId="4" fillId="0" borderId="1" xfId="0" applyNumberFormat="1" applyFont="1" applyFill="1" applyBorder="1" applyAlignment="1">
      <alignment horizontal="center" textRotation="90" wrapText="1"/>
    </xf>
    <xf numFmtId="0" fontId="4" fillId="0" borderId="6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6" xfId="0" applyNumberFormat="1" applyFont="1" applyFill="1" applyBorder="1" applyAlignment="1">
      <alignment horizontal="center" wrapText="1"/>
    </xf>
    <xf numFmtId="0" fontId="4" fillId="0" borderId="7" xfId="0" applyNumberFormat="1" applyFont="1" applyFill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/>
    </xf>
    <xf numFmtId="0" fontId="1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textRotation="90" wrapText="1"/>
    </xf>
    <xf numFmtId="0" fontId="6" fillId="0" borderId="6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Alignment="1">
      <alignment horizontal="center" wrapText="1"/>
    </xf>
    <xf numFmtId="0" fontId="11" fillId="0" borderId="0" xfId="0" applyFont="1" applyFill="1" applyAlignment="1">
      <alignment horizontal="center"/>
    </xf>
    <xf numFmtId="0" fontId="32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20" fillId="0" borderId="9" xfId="0" applyFont="1" applyFill="1" applyBorder="1" applyAlignment="1">
      <alignment horizontal="center" wrapText="1"/>
    </xf>
    <xf numFmtId="0" fontId="20" fillId="0" borderId="2" xfId="0" applyFont="1" applyFill="1" applyBorder="1" applyAlignment="1">
      <alignment horizontal="center" wrapText="1"/>
    </xf>
    <xf numFmtId="0" fontId="20" fillId="0" borderId="6" xfId="0" applyFont="1" applyFill="1" applyBorder="1" applyAlignment="1">
      <alignment horizontal="center" wrapText="1"/>
    </xf>
    <xf numFmtId="0" fontId="20" fillId="0" borderId="7" xfId="0" applyFont="1" applyFill="1" applyBorder="1" applyAlignment="1">
      <alignment horizontal="center" wrapText="1"/>
    </xf>
    <xf numFmtId="0" fontId="20" fillId="0" borderId="8" xfId="0" applyFont="1" applyFill="1" applyBorder="1" applyAlignment="1">
      <alignment horizontal="center" wrapText="1"/>
    </xf>
    <xf numFmtId="0" fontId="21" fillId="0" borderId="11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 wrapText="1"/>
    </xf>
    <xf numFmtId="0" fontId="20" fillId="0" borderId="11" xfId="0" applyFont="1" applyFill="1" applyBorder="1" applyAlignment="1">
      <alignment horizontal="center" wrapText="1"/>
    </xf>
    <xf numFmtId="0" fontId="20" fillId="0" borderId="5" xfId="0" applyFont="1" applyFill="1" applyBorder="1" applyAlignment="1">
      <alignment horizontal="center" wrapText="1"/>
    </xf>
    <xf numFmtId="1" fontId="20" fillId="0" borderId="9" xfId="0" applyNumberFormat="1" applyFont="1" applyFill="1" applyBorder="1" applyAlignment="1">
      <alignment horizontal="center" wrapText="1"/>
    </xf>
    <xf numFmtId="1" fontId="20" fillId="0" borderId="2" xfId="0" applyNumberFormat="1" applyFont="1" applyFill="1" applyBorder="1" applyAlignment="1">
      <alignment horizontal="center" wrapText="1"/>
    </xf>
    <xf numFmtId="0" fontId="20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textRotation="90" wrapText="1"/>
    </xf>
    <xf numFmtId="0" fontId="5" fillId="0" borderId="1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6"/>
  <sheetViews>
    <sheetView view="pageBreakPreview" zoomScale="85" zoomScaleNormal="100" zoomScaleSheetLayoutView="85" workbookViewId="0">
      <selection activeCell="AA10" sqref="AA10"/>
    </sheetView>
  </sheetViews>
  <sheetFormatPr defaultColWidth="9.140625" defaultRowHeight="15" x14ac:dyDescent="0.2"/>
  <cols>
    <col min="1" max="1" width="5.28515625" style="145" customWidth="1"/>
    <col min="2" max="2" width="14" style="145" customWidth="1"/>
    <col min="3" max="3" width="9.28515625" style="146" customWidth="1"/>
    <col min="4" max="4" width="9.5703125" style="146" customWidth="1"/>
    <col min="5" max="5" width="7.28515625" style="146" customWidth="1"/>
    <col min="6" max="6" width="7.5703125" style="146" customWidth="1"/>
    <col min="7" max="7" width="7.42578125" style="146" customWidth="1"/>
    <col min="8" max="8" width="7.5703125" style="146" hidden="1" customWidth="1"/>
    <col min="9" max="9" width="9.5703125" style="146" hidden="1" customWidth="1"/>
    <col min="10" max="10" width="10.28515625" style="146" hidden="1" customWidth="1"/>
    <col min="11" max="11" width="6" style="146" hidden="1" customWidth="1"/>
    <col min="12" max="12" width="8" style="146" hidden="1" customWidth="1"/>
    <col min="13" max="13" width="0.140625" style="146" hidden="1" customWidth="1"/>
    <col min="14" max="14" width="8.28515625" style="146" hidden="1" customWidth="1"/>
    <col min="15" max="15" width="9.42578125" style="146" hidden="1" customWidth="1"/>
    <col min="16" max="16" width="10.7109375" style="146" hidden="1" customWidth="1"/>
    <col min="17" max="17" width="4.5703125" style="146" hidden="1" customWidth="1"/>
    <col min="18" max="18" width="10.42578125" style="147" hidden="1" customWidth="1"/>
    <col min="19" max="20" width="10.42578125" style="146" customWidth="1"/>
    <col min="21" max="16384" width="9.140625" style="145"/>
  </cols>
  <sheetData>
    <row r="1" spans="1:21" s="1" customFormat="1" ht="44.25" customHeight="1" x14ac:dyDescent="0.25">
      <c r="A1" s="296" t="s">
        <v>147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</row>
    <row r="2" spans="1:21" s="4" customFormat="1" ht="30.75" customHeight="1" x14ac:dyDescent="0.2">
      <c r="A2" s="294" t="s">
        <v>131</v>
      </c>
      <c r="B2" s="294" t="s">
        <v>38</v>
      </c>
      <c r="C2" s="293" t="s">
        <v>47</v>
      </c>
      <c r="D2" s="293" t="s">
        <v>48</v>
      </c>
      <c r="E2" s="293" t="s">
        <v>17</v>
      </c>
      <c r="F2" s="294" t="s">
        <v>27</v>
      </c>
      <c r="G2" s="294" t="s">
        <v>33</v>
      </c>
      <c r="H2" s="293" t="s">
        <v>26</v>
      </c>
      <c r="I2" s="293" t="s">
        <v>2</v>
      </c>
      <c r="J2" s="293" t="s">
        <v>3</v>
      </c>
      <c r="K2" s="293" t="s">
        <v>10</v>
      </c>
      <c r="L2" s="293" t="s">
        <v>11</v>
      </c>
      <c r="M2" s="293" t="s">
        <v>1</v>
      </c>
      <c r="N2" s="294" t="s">
        <v>31</v>
      </c>
      <c r="O2" s="294" t="s">
        <v>171</v>
      </c>
      <c r="P2" s="290" t="s">
        <v>14</v>
      </c>
      <c r="Q2" s="291"/>
      <c r="R2" s="292"/>
      <c r="S2" s="293" t="s">
        <v>21</v>
      </c>
      <c r="T2" s="294" t="s">
        <v>24</v>
      </c>
    </row>
    <row r="3" spans="1:21" s="4" customFormat="1" ht="30.75" customHeight="1" x14ac:dyDescent="0.2">
      <c r="A3" s="297"/>
      <c r="B3" s="297"/>
      <c r="C3" s="293"/>
      <c r="D3" s="293"/>
      <c r="E3" s="293"/>
      <c r="F3" s="297"/>
      <c r="G3" s="297"/>
      <c r="H3" s="293"/>
      <c r="I3" s="293"/>
      <c r="J3" s="293"/>
      <c r="K3" s="293"/>
      <c r="L3" s="293"/>
      <c r="M3" s="293"/>
      <c r="N3" s="297"/>
      <c r="O3" s="295"/>
      <c r="P3" s="280" t="s">
        <v>45</v>
      </c>
      <c r="Q3" s="10" t="s">
        <v>8</v>
      </c>
      <c r="R3" s="58" t="s">
        <v>12</v>
      </c>
      <c r="S3" s="293"/>
      <c r="T3" s="297"/>
    </row>
    <row r="4" spans="1:21" s="1" customFormat="1" ht="15" customHeight="1" x14ac:dyDescent="0.25">
      <c r="A4" s="123">
        <v>1</v>
      </c>
      <c r="B4" s="123">
        <v>3</v>
      </c>
      <c r="C4" s="123">
        <v>4</v>
      </c>
      <c r="D4" s="123">
        <v>6</v>
      </c>
      <c r="E4" s="123">
        <v>7</v>
      </c>
      <c r="F4" s="123">
        <v>8</v>
      </c>
      <c r="G4" s="123">
        <v>9</v>
      </c>
      <c r="H4" s="123">
        <v>10</v>
      </c>
      <c r="I4" s="123">
        <v>11</v>
      </c>
      <c r="J4" s="123">
        <v>12</v>
      </c>
      <c r="K4" s="123">
        <v>13</v>
      </c>
      <c r="L4" s="123">
        <v>14</v>
      </c>
      <c r="M4" s="123">
        <v>2</v>
      </c>
      <c r="N4" s="124">
        <v>15</v>
      </c>
      <c r="O4" s="124">
        <v>16</v>
      </c>
      <c r="P4" s="123">
        <v>17</v>
      </c>
      <c r="Q4" s="125">
        <v>18</v>
      </c>
      <c r="R4" s="126">
        <v>19</v>
      </c>
      <c r="S4" s="123">
        <v>23</v>
      </c>
      <c r="T4" s="124">
        <v>24</v>
      </c>
    </row>
    <row r="5" spans="1:21" s="131" customFormat="1" ht="33.75" customHeight="1" x14ac:dyDescent="0.25">
      <c r="A5" s="123">
        <v>1</v>
      </c>
      <c r="B5" s="54" t="s">
        <v>284</v>
      </c>
      <c r="C5" s="127" t="s">
        <v>51</v>
      </c>
      <c r="D5" s="148" t="s">
        <v>167</v>
      </c>
      <c r="E5" s="127" t="s">
        <v>94</v>
      </c>
      <c r="F5" s="127" t="s">
        <v>81</v>
      </c>
      <c r="G5" s="128">
        <v>0.5</v>
      </c>
      <c r="H5" s="127">
        <v>4.0599999999999996</v>
      </c>
      <c r="I5" s="123">
        <v>17697</v>
      </c>
      <c r="J5" s="129">
        <f>I5*H5</f>
        <v>71849.819999999992</v>
      </c>
      <c r="K5" s="129"/>
      <c r="L5" s="126">
        <f>J5+K5</f>
        <v>71849.819999999992</v>
      </c>
      <c r="M5" s="123"/>
      <c r="N5" s="126">
        <f>L5*G5</f>
        <v>35924.909999999996</v>
      </c>
      <c r="O5" s="133">
        <f>N5*10%</f>
        <v>3592.491</v>
      </c>
      <c r="P5" s="128">
        <f>G5</f>
        <v>0.5</v>
      </c>
      <c r="Q5" s="127">
        <v>40</v>
      </c>
      <c r="R5" s="129">
        <f>17697*P5*Q5/100</f>
        <v>3539.4</v>
      </c>
      <c r="S5" s="129">
        <f>R5+O5</f>
        <v>7131.8909999999996</v>
      </c>
      <c r="T5" s="129">
        <f>S5+N5</f>
        <v>43056.800999999992</v>
      </c>
      <c r="U5" s="130"/>
    </row>
    <row r="6" spans="1:21" s="131" customFormat="1" ht="33.75" customHeight="1" x14ac:dyDescent="0.25">
      <c r="A6" s="123">
        <v>2</v>
      </c>
      <c r="B6" s="54" t="s">
        <v>285</v>
      </c>
      <c r="C6" s="132" t="s">
        <v>54</v>
      </c>
      <c r="D6" s="123" t="s">
        <v>168</v>
      </c>
      <c r="E6" s="127" t="s">
        <v>124</v>
      </c>
      <c r="F6" s="127" t="s">
        <v>53</v>
      </c>
      <c r="G6" s="128">
        <v>0.5</v>
      </c>
      <c r="H6" s="132">
        <v>4.4000000000000004</v>
      </c>
      <c r="I6" s="123">
        <v>17697</v>
      </c>
      <c r="J6" s="129">
        <f t="shared" ref="J6:J15" si="0">I6*H6</f>
        <v>77866.8</v>
      </c>
      <c r="K6" s="129"/>
      <c r="L6" s="126">
        <f>J6+K6</f>
        <v>77866.8</v>
      </c>
      <c r="M6" s="132" t="s">
        <v>56</v>
      </c>
      <c r="N6" s="126">
        <f t="shared" ref="N6:N15" si="1">L6*G6</f>
        <v>38933.4</v>
      </c>
      <c r="O6" s="126">
        <f>N6*10%</f>
        <v>3893.34</v>
      </c>
      <c r="P6" s="128">
        <f>G6</f>
        <v>0.5</v>
      </c>
      <c r="Q6" s="127">
        <v>40</v>
      </c>
      <c r="R6" s="129">
        <f>17697*P6*Q6/100</f>
        <v>3539.4</v>
      </c>
      <c r="S6" s="129">
        <f t="shared" ref="S6:S15" si="2">R6+O6</f>
        <v>7432.74</v>
      </c>
      <c r="T6" s="129">
        <f t="shared" ref="T6:T14" si="3">S6+N6</f>
        <v>46366.14</v>
      </c>
      <c r="U6" s="130"/>
    </row>
    <row r="7" spans="1:21" s="131" customFormat="1" ht="33.75" customHeight="1" x14ac:dyDescent="0.25">
      <c r="A7" s="123">
        <v>3</v>
      </c>
      <c r="B7" s="54" t="s">
        <v>286</v>
      </c>
      <c r="C7" s="132" t="s">
        <v>54</v>
      </c>
      <c r="D7" s="123" t="s">
        <v>169</v>
      </c>
      <c r="E7" s="127" t="s">
        <v>108</v>
      </c>
      <c r="F7" s="127" t="s">
        <v>81</v>
      </c>
      <c r="G7" s="128">
        <v>0.5</v>
      </c>
      <c r="H7" s="132">
        <v>3.49</v>
      </c>
      <c r="I7" s="123">
        <v>17697</v>
      </c>
      <c r="J7" s="129">
        <f t="shared" si="0"/>
        <v>61762.530000000006</v>
      </c>
      <c r="K7" s="129"/>
      <c r="L7" s="126">
        <f t="shared" ref="L7" si="4">J7+K7</f>
        <v>61762.530000000006</v>
      </c>
      <c r="M7" s="132" t="s">
        <v>56</v>
      </c>
      <c r="N7" s="126">
        <f t="shared" si="1"/>
        <v>30881.265000000003</v>
      </c>
      <c r="O7" s="126">
        <f t="shared" ref="O7" si="5">N7*10%</f>
        <v>3088.1265000000003</v>
      </c>
      <c r="P7" s="128">
        <f t="shared" ref="P7" si="6">G7</f>
        <v>0.5</v>
      </c>
      <c r="Q7" s="127">
        <v>40</v>
      </c>
      <c r="R7" s="129">
        <f t="shared" ref="R7" si="7">17697*P7*Q7/100</f>
        <v>3539.4</v>
      </c>
      <c r="S7" s="129">
        <f t="shared" si="2"/>
        <v>6627.5264999999999</v>
      </c>
      <c r="T7" s="129">
        <f t="shared" si="3"/>
        <v>37508.791500000007</v>
      </c>
      <c r="U7" s="130"/>
    </row>
    <row r="8" spans="1:21" s="134" customFormat="1" ht="33.75" customHeight="1" x14ac:dyDescent="0.25">
      <c r="A8" s="123">
        <v>4</v>
      </c>
      <c r="B8" s="54" t="s">
        <v>287</v>
      </c>
      <c r="C8" s="127" t="s">
        <v>51</v>
      </c>
      <c r="D8" s="127" t="s">
        <v>170</v>
      </c>
      <c r="E8" s="127" t="s">
        <v>101</v>
      </c>
      <c r="F8" s="127" t="s">
        <v>81</v>
      </c>
      <c r="G8" s="128">
        <v>0.5</v>
      </c>
      <c r="H8" s="127">
        <v>3.71</v>
      </c>
      <c r="I8" s="127">
        <v>17697</v>
      </c>
      <c r="J8" s="129">
        <f t="shared" si="0"/>
        <v>65655.87</v>
      </c>
      <c r="K8" s="127"/>
      <c r="L8" s="133">
        <f t="shared" ref="L8:L13" si="8">J8+K8</f>
        <v>65655.87</v>
      </c>
      <c r="M8" s="133"/>
      <c r="N8" s="126">
        <f t="shared" si="1"/>
        <v>32827.934999999998</v>
      </c>
      <c r="O8" s="133">
        <f>N8*10%</f>
        <v>3282.7934999999998</v>
      </c>
      <c r="P8" s="127">
        <f t="shared" ref="P8:P13" si="9">G8</f>
        <v>0.5</v>
      </c>
      <c r="Q8" s="127">
        <v>40</v>
      </c>
      <c r="R8" s="129">
        <f t="shared" ref="R8:R9" si="10">17697*P8*Q8/100</f>
        <v>3539.4</v>
      </c>
      <c r="S8" s="129">
        <f t="shared" si="2"/>
        <v>6822.1934999999994</v>
      </c>
      <c r="T8" s="129">
        <f t="shared" si="3"/>
        <v>39650.128499999999</v>
      </c>
    </row>
    <row r="9" spans="1:21" s="131" customFormat="1" ht="33.75" customHeight="1" x14ac:dyDescent="0.25">
      <c r="A9" s="123">
        <v>5</v>
      </c>
      <c r="B9" s="54" t="s">
        <v>288</v>
      </c>
      <c r="C9" s="127" t="s">
        <v>54</v>
      </c>
      <c r="D9" s="123" t="s">
        <v>96</v>
      </c>
      <c r="E9" s="127" t="s">
        <v>108</v>
      </c>
      <c r="F9" s="127" t="s">
        <v>81</v>
      </c>
      <c r="G9" s="128">
        <v>0.5</v>
      </c>
      <c r="H9" s="127">
        <v>3.73</v>
      </c>
      <c r="I9" s="123">
        <v>17697</v>
      </c>
      <c r="J9" s="129">
        <f t="shared" si="0"/>
        <v>66009.81</v>
      </c>
      <c r="K9" s="129"/>
      <c r="L9" s="126">
        <f t="shared" si="8"/>
        <v>66009.81</v>
      </c>
      <c r="M9" s="123" t="s">
        <v>55</v>
      </c>
      <c r="N9" s="126">
        <f t="shared" si="1"/>
        <v>33004.904999999999</v>
      </c>
      <c r="O9" s="126">
        <f>N9*10%</f>
        <v>3300.4904999999999</v>
      </c>
      <c r="P9" s="128">
        <f t="shared" si="9"/>
        <v>0.5</v>
      </c>
      <c r="Q9" s="127">
        <v>40</v>
      </c>
      <c r="R9" s="129">
        <f t="shared" si="10"/>
        <v>3539.4</v>
      </c>
      <c r="S9" s="129">
        <f t="shared" si="2"/>
        <v>6839.8904999999995</v>
      </c>
      <c r="T9" s="129">
        <f t="shared" si="3"/>
        <v>39844.7955</v>
      </c>
      <c r="U9" s="130"/>
    </row>
    <row r="10" spans="1:21" s="131" customFormat="1" ht="33.75" customHeight="1" x14ac:dyDescent="0.25">
      <c r="A10" s="123">
        <v>6</v>
      </c>
      <c r="B10" s="54" t="s">
        <v>289</v>
      </c>
      <c r="C10" s="132" t="s">
        <v>51</v>
      </c>
      <c r="D10" s="123" t="s">
        <v>160</v>
      </c>
      <c r="E10" s="127" t="s">
        <v>94</v>
      </c>
      <c r="F10" s="127" t="s">
        <v>81</v>
      </c>
      <c r="G10" s="128">
        <v>0.5</v>
      </c>
      <c r="H10" s="132">
        <v>3.64</v>
      </c>
      <c r="I10" s="123">
        <v>17697</v>
      </c>
      <c r="J10" s="129">
        <f t="shared" si="0"/>
        <v>64417.08</v>
      </c>
      <c r="K10" s="129"/>
      <c r="L10" s="126">
        <f t="shared" si="8"/>
        <v>64417.08</v>
      </c>
      <c r="M10" s="132" t="s">
        <v>56</v>
      </c>
      <c r="N10" s="126">
        <f t="shared" si="1"/>
        <v>32208.54</v>
      </c>
      <c r="O10" s="126"/>
      <c r="P10" s="128">
        <f t="shared" si="9"/>
        <v>0.5</v>
      </c>
      <c r="Q10" s="127">
        <v>40</v>
      </c>
      <c r="R10" s="129">
        <f>17697*P10*Q10/100</f>
        <v>3539.4</v>
      </c>
      <c r="S10" s="129">
        <f t="shared" si="2"/>
        <v>3539.4</v>
      </c>
      <c r="T10" s="129">
        <f t="shared" si="3"/>
        <v>35747.94</v>
      </c>
      <c r="U10" s="130"/>
    </row>
    <row r="11" spans="1:21" s="131" customFormat="1" ht="33.75" customHeight="1" x14ac:dyDescent="0.25">
      <c r="A11" s="123">
        <v>7</v>
      </c>
      <c r="B11" s="54" t="s">
        <v>290</v>
      </c>
      <c r="C11" s="127" t="s">
        <v>51</v>
      </c>
      <c r="D11" s="123" t="s">
        <v>96</v>
      </c>
      <c r="E11" s="127" t="s">
        <v>109</v>
      </c>
      <c r="F11" s="127">
        <v>2</v>
      </c>
      <c r="G11" s="128">
        <v>0.5</v>
      </c>
      <c r="H11" s="127">
        <v>4.5</v>
      </c>
      <c r="I11" s="123">
        <v>17697</v>
      </c>
      <c r="J11" s="129">
        <f t="shared" si="0"/>
        <v>79636.5</v>
      </c>
      <c r="K11" s="129"/>
      <c r="L11" s="126">
        <f t="shared" si="8"/>
        <v>79636.5</v>
      </c>
      <c r="M11" s="123" t="s">
        <v>55</v>
      </c>
      <c r="N11" s="126">
        <f t="shared" si="1"/>
        <v>39818.25</v>
      </c>
      <c r="O11" s="126">
        <f>N11*10%</f>
        <v>3981.8250000000003</v>
      </c>
      <c r="P11" s="128">
        <f t="shared" si="9"/>
        <v>0.5</v>
      </c>
      <c r="Q11" s="127">
        <v>40</v>
      </c>
      <c r="R11" s="129">
        <f t="shared" ref="R11" si="11">17697*P11*Q11/100</f>
        <v>3539.4</v>
      </c>
      <c r="S11" s="129">
        <f t="shared" si="2"/>
        <v>7521.2250000000004</v>
      </c>
      <c r="T11" s="129">
        <f t="shared" si="3"/>
        <v>47339.474999999999</v>
      </c>
      <c r="U11" s="130"/>
    </row>
    <row r="12" spans="1:21" s="131" customFormat="1" ht="33.75" customHeight="1" x14ac:dyDescent="0.25">
      <c r="A12" s="123">
        <v>8</v>
      </c>
      <c r="B12" s="54" t="s">
        <v>291</v>
      </c>
      <c r="C12" s="127" t="s">
        <v>51</v>
      </c>
      <c r="D12" s="123" t="s">
        <v>172</v>
      </c>
      <c r="E12" s="127" t="s">
        <v>94</v>
      </c>
      <c r="F12" s="127" t="s">
        <v>81</v>
      </c>
      <c r="G12" s="128">
        <v>0.5</v>
      </c>
      <c r="H12" s="127">
        <v>3.58</v>
      </c>
      <c r="I12" s="123">
        <v>17697</v>
      </c>
      <c r="J12" s="129">
        <f t="shared" si="0"/>
        <v>63355.26</v>
      </c>
      <c r="K12" s="129"/>
      <c r="L12" s="126">
        <f t="shared" si="8"/>
        <v>63355.26</v>
      </c>
      <c r="M12" s="123" t="s">
        <v>55</v>
      </c>
      <c r="N12" s="126">
        <f t="shared" si="1"/>
        <v>31677.63</v>
      </c>
      <c r="O12" s="126"/>
      <c r="P12" s="128">
        <f t="shared" si="9"/>
        <v>0.5</v>
      </c>
      <c r="Q12" s="127">
        <v>40</v>
      </c>
      <c r="R12" s="129">
        <f t="shared" ref="R12" si="12">17697*P12*Q12/100</f>
        <v>3539.4</v>
      </c>
      <c r="S12" s="129">
        <f t="shared" si="2"/>
        <v>3539.4</v>
      </c>
      <c r="T12" s="129">
        <f t="shared" si="3"/>
        <v>35217.03</v>
      </c>
      <c r="U12" s="130"/>
    </row>
    <row r="13" spans="1:21" s="131" customFormat="1" ht="33.75" customHeight="1" x14ac:dyDescent="0.25">
      <c r="A13" s="123">
        <v>9</v>
      </c>
      <c r="B13" s="54" t="s">
        <v>292</v>
      </c>
      <c r="C13" s="127" t="s">
        <v>51</v>
      </c>
      <c r="D13" s="123" t="s">
        <v>96</v>
      </c>
      <c r="E13" s="127" t="s">
        <v>95</v>
      </c>
      <c r="F13" s="127" t="s">
        <v>53</v>
      </c>
      <c r="G13" s="128">
        <v>1</v>
      </c>
      <c r="H13" s="127">
        <v>4.75</v>
      </c>
      <c r="I13" s="123">
        <v>17697</v>
      </c>
      <c r="J13" s="129">
        <f t="shared" si="0"/>
        <v>84060.75</v>
      </c>
      <c r="K13" s="129"/>
      <c r="L13" s="126">
        <f t="shared" si="8"/>
        <v>84060.75</v>
      </c>
      <c r="M13" s="123" t="s">
        <v>55</v>
      </c>
      <c r="N13" s="126">
        <f t="shared" si="1"/>
        <v>84060.75</v>
      </c>
      <c r="O13" s="126">
        <f>N13*10%</f>
        <v>8406.0750000000007</v>
      </c>
      <c r="P13" s="128">
        <f t="shared" si="9"/>
        <v>1</v>
      </c>
      <c r="Q13" s="127">
        <v>40</v>
      </c>
      <c r="R13" s="129">
        <f t="shared" ref="R13" si="13">17697*P13*Q13/100</f>
        <v>7078.8</v>
      </c>
      <c r="S13" s="129">
        <f t="shared" si="2"/>
        <v>15484.875</v>
      </c>
      <c r="T13" s="129">
        <f t="shared" si="3"/>
        <v>99545.625</v>
      </c>
      <c r="U13" s="130"/>
    </row>
    <row r="14" spans="1:21" s="131" customFormat="1" ht="33.75" customHeight="1" x14ac:dyDescent="0.25">
      <c r="A14" s="123">
        <v>10</v>
      </c>
      <c r="B14" s="54" t="s">
        <v>293</v>
      </c>
      <c r="C14" s="127" t="s">
        <v>51</v>
      </c>
      <c r="D14" s="153" t="s">
        <v>173</v>
      </c>
      <c r="E14" s="127" t="s">
        <v>109</v>
      </c>
      <c r="F14" s="127">
        <v>2</v>
      </c>
      <c r="G14" s="128">
        <v>0.5</v>
      </c>
      <c r="H14" s="127">
        <v>4</v>
      </c>
      <c r="I14" s="123">
        <v>17697</v>
      </c>
      <c r="J14" s="129">
        <f t="shared" si="0"/>
        <v>70788</v>
      </c>
      <c r="K14" s="129"/>
      <c r="L14" s="126">
        <f t="shared" ref="L14" si="14">J14+K14</f>
        <v>70788</v>
      </c>
      <c r="M14" s="123"/>
      <c r="N14" s="126">
        <f t="shared" si="1"/>
        <v>35394</v>
      </c>
      <c r="O14" s="126"/>
      <c r="P14" s="128">
        <f t="shared" ref="P14" si="15">G14</f>
        <v>0.5</v>
      </c>
      <c r="Q14" s="127">
        <v>40</v>
      </c>
      <c r="R14" s="129">
        <f>17697*P14*Q14/100</f>
        <v>3539.4</v>
      </c>
      <c r="S14" s="129">
        <f t="shared" si="2"/>
        <v>3539.4</v>
      </c>
      <c r="T14" s="129">
        <f t="shared" si="3"/>
        <v>38933.4</v>
      </c>
      <c r="U14" s="130"/>
    </row>
    <row r="15" spans="1:21" s="131" customFormat="1" ht="33.75" customHeight="1" x14ac:dyDescent="0.25">
      <c r="A15" s="123">
        <v>11</v>
      </c>
      <c r="B15" s="54" t="s">
        <v>294</v>
      </c>
      <c r="C15" s="132" t="s">
        <v>51</v>
      </c>
      <c r="D15" s="123" t="s">
        <v>192</v>
      </c>
      <c r="E15" s="127" t="s">
        <v>95</v>
      </c>
      <c r="F15" s="127" t="s">
        <v>53</v>
      </c>
      <c r="G15" s="128">
        <v>0.5</v>
      </c>
      <c r="H15" s="132">
        <v>4.62</v>
      </c>
      <c r="I15" s="123">
        <v>17697</v>
      </c>
      <c r="J15" s="129">
        <f t="shared" si="0"/>
        <v>81760.14</v>
      </c>
      <c r="K15" s="129"/>
      <c r="L15" s="126">
        <f t="shared" ref="L15" si="16">J15+K15</f>
        <v>81760.14</v>
      </c>
      <c r="M15" s="132" t="s">
        <v>56</v>
      </c>
      <c r="N15" s="126">
        <f t="shared" si="1"/>
        <v>40880.07</v>
      </c>
      <c r="O15" s="126"/>
      <c r="P15" s="128">
        <f t="shared" ref="P15" si="17">G15</f>
        <v>0.5</v>
      </c>
      <c r="Q15" s="127">
        <v>40</v>
      </c>
      <c r="R15" s="129">
        <f t="shared" ref="R15" si="18">17697*P15*Q15/100</f>
        <v>3539.4</v>
      </c>
      <c r="S15" s="129">
        <f t="shared" si="2"/>
        <v>3539.4</v>
      </c>
      <c r="T15" s="129">
        <f>S15+N15</f>
        <v>44419.47</v>
      </c>
      <c r="U15" s="130"/>
    </row>
    <row r="16" spans="1:21" s="1" customFormat="1" ht="15.75" x14ac:dyDescent="0.25">
      <c r="A16" s="135"/>
      <c r="B16" s="127"/>
      <c r="C16" s="136" t="s">
        <v>25</v>
      </c>
      <c r="D16" s="136" t="s">
        <v>25</v>
      </c>
      <c r="E16" s="136" t="s">
        <v>25</v>
      </c>
      <c r="F16" s="136" t="s">
        <v>25</v>
      </c>
      <c r="G16" s="137">
        <f>SUM(G5:G15)</f>
        <v>6</v>
      </c>
      <c r="H16" s="137"/>
      <c r="I16" s="137"/>
      <c r="J16" s="138">
        <f>SUM(J5:J15)</f>
        <v>787162.56</v>
      </c>
      <c r="K16" s="138">
        <f t="shared" ref="K16:M16" si="19">SUM(K5:K15)</f>
        <v>0</v>
      </c>
      <c r="L16" s="138">
        <f>SUM(L5:L15)</f>
        <v>787162.56</v>
      </c>
      <c r="M16" s="138">
        <f t="shared" si="19"/>
        <v>0</v>
      </c>
      <c r="N16" s="138">
        <f>SUM(N5:N15)</f>
        <v>435611.65500000003</v>
      </c>
      <c r="O16" s="138">
        <f>SUM(O5:O15)</f>
        <v>29545.141500000002</v>
      </c>
      <c r="P16" s="137">
        <f>SUM(P5:P15)</f>
        <v>6</v>
      </c>
      <c r="Q16" s="137"/>
      <c r="R16" s="138">
        <f>SUM(R5:R15)</f>
        <v>42472.80000000001</v>
      </c>
      <c r="S16" s="138">
        <f>SUM(S5:S15)</f>
        <v>72017.941500000001</v>
      </c>
      <c r="T16" s="138">
        <f>SUM(T5:T15)</f>
        <v>507629.59649999999</v>
      </c>
    </row>
    <row r="17" spans="1:26" s="1" customFormat="1" ht="15.75" x14ac:dyDescent="0.25">
      <c r="A17" s="139"/>
      <c r="B17" s="140"/>
      <c r="C17" s="77"/>
      <c r="D17" s="77"/>
      <c r="E17" s="77"/>
      <c r="F17" s="77"/>
      <c r="G17" s="141"/>
      <c r="H17" s="141"/>
      <c r="I17" s="141"/>
      <c r="J17" s="142"/>
      <c r="K17" s="142"/>
      <c r="L17" s="142"/>
      <c r="M17" s="142"/>
      <c r="N17" s="142"/>
      <c r="O17" s="142"/>
      <c r="P17" s="141"/>
      <c r="Q17" s="141"/>
      <c r="R17" s="142"/>
      <c r="S17" s="143"/>
      <c r="T17" s="143"/>
    </row>
    <row r="18" spans="1:26" s="1" customFormat="1" ht="15.75" x14ac:dyDescent="0.25">
      <c r="A18" s="144"/>
      <c r="B18" s="140"/>
      <c r="C18" s="77"/>
      <c r="D18" s="77"/>
      <c r="E18" s="77"/>
      <c r="F18" s="77"/>
      <c r="G18" s="141"/>
      <c r="H18" s="141"/>
      <c r="I18" s="141"/>
      <c r="J18" s="142"/>
      <c r="K18" s="142"/>
      <c r="L18" s="142"/>
      <c r="M18" s="142"/>
      <c r="N18" s="142"/>
      <c r="O18" s="142"/>
      <c r="P18" s="141"/>
      <c r="Q18" s="141"/>
      <c r="R18" s="142"/>
      <c r="S18" s="143"/>
      <c r="T18" s="143"/>
    </row>
    <row r="19" spans="1:26" s="157" customFormat="1" ht="20.25" customHeight="1" x14ac:dyDescent="0.25">
      <c r="A19" s="154"/>
      <c r="B19" s="29"/>
      <c r="C19" s="286" t="s">
        <v>19</v>
      </c>
      <c r="D19" s="254"/>
      <c r="E19" s="254"/>
      <c r="F19" s="285"/>
      <c r="G19" s="285"/>
      <c r="H19" s="298" t="s">
        <v>88</v>
      </c>
      <c r="I19" s="298"/>
      <c r="J19" s="298"/>
      <c r="K19" s="155"/>
      <c r="L19" s="155"/>
      <c r="M19" s="155"/>
      <c r="N19" s="156"/>
      <c r="O19" s="146"/>
      <c r="P19" s="155"/>
      <c r="Q19" s="156"/>
      <c r="R19" s="156"/>
      <c r="S19" s="155"/>
      <c r="T19" s="156"/>
      <c r="U19" s="156"/>
      <c r="V19" s="155"/>
      <c r="W19" s="156"/>
      <c r="X19" s="155"/>
      <c r="Y19" s="155"/>
      <c r="Z19" s="155"/>
    </row>
    <row r="20" spans="1:26" s="158" customFormat="1" ht="20.25" customHeight="1" x14ac:dyDescent="0.25">
      <c r="B20" s="20"/>
      <c r="C20" s="51"/>
      <c r="D20" s="299" t="s">
        <v>29</v>
      </c>
      <c r="E20" s="299"/>
      <c r="F20" s="17"/>
      <c r="G20" s="17"/>
      <c r="H20" s="299" t="s">
        <v>30</v>
      </c>
      <c r="I20" s="299"/>
      <c r="J20" s="299"/>
      <c r="K20" s="146"/>
      <c r="L20" s="146"/>
      <c r="M20" s="146"/>
      <c r="N20" s="146"/>
      <c r="O20" s="146"/>
      <c r="P20" s="146"/>
      <c r="Q20" s="146"/>
      <c r="R20" s="146"/>
      <c r="S20" s="159"/>
      <c r="T20" s="146"/>
      <c r="U20" s="146"/>
      <c r="V20" s="146"/>
      <c r="W20" s="146"/>
      <c r="X20" s="146"/>
      <c r="Y20" s="146"/>
      <c r="Z20" s="146"/>
    </row>
    <row r="21" spans="1:26" ht="20.25" customHeight="1" x14ac:dyDescent="0.25">
      <c r="B21" s="29"/>
      <c r="C21" s="286" t="s">
        <v>20</v>
      </c>
      <c r="D21" s="254"/>
      <c r="E21" s="254"/>
      <c r="F21" s="285"/>
      <c r="G21" s="285"/>
      <c r="H21" s="298" t="s">
        <v>115</v>
      </c>
      <c r="I21" s="298"/>
      <c r="J21" s="298"/>
      <c r="K21" s="252"/>
      <c r="L21" s="252"/>
      <c r="M21" s="156"/>
      <c r="N21" s="156"/>
      <c r="O21" s="156"/>
      <c r="P21" s="156"/>
      <c r="Q21" s="156"/>
      <c r="R21" s="146"/>
      <c r="S21" s="159"/>
      <c r="T21" s="156"/>
      <c r="U21" s="156"/>
      <c r="V21" s="156"/>
      <c r="W21" s="156"/>
      <c r="X21" s="156"/>
      <c r="Y21" s="156"/>
      <c r="Z21" s="156"/>
    </row>
    <row r="22" spans="1:26" s="158" customFormat="1" ht="20.25" customHeight="1" x14ac:dyDescent="0.25">
      <c r="B22" s="20"/>
      <c r="C22" s="51"/>
      <c r="D22" s="299" t="s">
        <v>29</v>
      </c>
      <c r="E22" s="299"/>
      <c r="F22" s="17"/>
      <c r="G22" s="17"/>
      <c r="H22" s="299" t="s">
        <v>30</v>
      </c>
      <c r="I22" s="299"/>
      <c r="J22" s="299"/>
      <c r="K22" s="146"/>
      <c r="L22" s="146"/>
      <c r="M22" s="146"/>
      <c r="N22" s="146"/>
      <c r="O22" s="146"/>
      <c r="P22" s="146"/>
      <c r="Q22" s="146"/>
      <c r="R22" s="146"/>
      <c r="S22" s="159"/>
      <c r="T22" s="146"/>
      <c r="U22" s="146"/>
      <c r="V22" s="146"/>
      <c r="W22" s="146"/>
      <c r="X22" s="146"/>
      <c r="Y22" s="146"/>
      <c r="Z22" s="146"/>
    </row>
    <row r="23" spans="1:26" ht="20.25" customHeight="1" x14ac:dyDescent="0.25">
      <c r="B23" s="29"/>
      <c r="C23" s="286" t="s">
        <v>28</v>
      </c>
      <c r="D23" s="254"/>
      <c r="E23" s="254"/>
      <c r="F23" s="285"/>
      <c r="G23" s="285"/>
      <c r="H23" s="298" t="s">
        <v>92</v>
      </c>
      <c r="I23" s="298"/>
      <c r="J23" s="298"/>
      <c r="K23" s="156"/>
      <c r="L23" s="156"/>
      <c r="M23" s="156"/>
      <c r="N23" s="156"/>
      <c r="O23" s="156"/>
      <c r="P23" s="156"/>
      <c r="Q23" s="156"/>
      <c r="R23" s="146"/>
      <c r="S23" s="159"/>
      <c r="T23" s="156"/>
      <c r="U23" s="156"/>
      <c r="V23" s="156"/>
      <c r="W23" s="156"/>
      <c r="X23" s="156"/>
      <c r="Y23" s="156"/>
      <c r="Z23" s="156"/>
    </row>
    <row r="24" spans="1:26" s="158" customFormat="1" ht="20.25" customHeight="1" x14ac:dyDescent="0.25">
      <c r="B24" s="20"/>
      <c r="C24" s="51"/>
      <c r="D24" s="299" t="s">
        <v>29</v>
      </c>
      <c r="E24" s="299"/>
      <c r="F24" s="17"/>
      <c r="G24" s="17"/>
      <c r="H24" s="299" t="s">
        <v>30</v>
      </c>
      <c r="I24" s="299"/>
      <c r="J24" s="299"/>
      <c r="K24" s="146"/>
      <c r="L24" s="146"/>
      <c r="M24" s="146"/>
      <c r="N24" s="146"/>
      <c r="O24" s="146"/>
      <c r="P24" s="146"/>
      <c r="Q24" s="146"/>
      <c r="R24" s="146"/>
      <c r="S24" s="159"/>
      <c r="T24" s="146"/>
      <c r="U24" s="146"/>
      <c r="V24" s="146"/>
      <c r="W24" s="146"/>
      <c r="X24" s="146"/>
      <c r="Y24" s="146"/>
      <c r="Z24" s="146"/>
    </row>
    <row r="25" spans="1:26" ht="20.25" customHeight="1" x14ac:dyDescent="0.2">
      <c r="B25" s="20"/>
      <c r="C25" s="286" t="s">
        <v>266</v>
      </c>
      <c r="D25" s="254"/>
      <c r="E25" s="254"/>
      <c r="F25" s="17"/>
      <c r="G25" s="17"/>
      <c r="H25" s="298" t="s">
        <v>125</v>
      </c>
      <c r="I25" s="298"/>
      <c r="J25" s="298"/>
      <c r="R25" s="146"/>
      <c r="S25" s="159"/>
      <c r="U25" s="146"/>
      <c r="V25" s="146"/>
      <c r="W25" s="146"/>
      <c r="X25" s="146"/>
      <c r="Y25" s="146"/>
      <c r="Z25" s="146"/>
    </row>
    <row r="26" spans="1:26" ht="20.25" customHeight="1" x14ac:dyDescent="0.2">
      <c r="B26" s="34"/>
      <c r="C26" s="35"/>
      <c r="D26" s="299" t="s">
        <v>29</v>
      </c>
      <c r="E26" s="299"/>
      <c r="F26" s="17"/>
      <c r="G26" s="17"/>
      <c r="H26" s="299" t="s">
        <v>30</v>
      </c>
      <c r="I26" s="299"/>
      <c r="J26" s="299"/>
      <c r="R26" s="146"/>
      <c r="S26" s="159"/>
      <c r="U26" s="146"/>
      <c r="V26" s="146"/>
      <c r="W26" s="146"/>
      <c r="X26" s="146"/>
      <c r="Y26" s="146"/>
      <c r="Z26" s="146"/>
    </row>
  </sheetData>
  <mergeCells count="31">
    <mergeCell ref="H19:J19"/>
    <mergeCell ref="D20:E20"/>
    <mergeCell ref="H20:J20"/>
    <mergeCell ref="H25:J25"/>
    <mergeCell ref="D26:E26"/>
    <mergeCell ref="H26:J26"/>
    <mergeCell ref="H21:J21"/>
    <mergeCell ref="D22:E22"/>
    <mergeCell ref="H22:J22"/>
    <mergeCell ref="H23:J23"/>
    <mergeCell ref="D24:E24"/>
    <mergeCell ref="H24:J24"/>
    <mergeCell ref="A1:T1"/>
    <mergeCell ref="G2:G3"/>
    <mergeCell ref="H2:H3"/>
    <mergeCell ref="I2:I3"/>
    <mergeCell ref="F2:F3"/>
    <mergeCell ref="D2:D3"/>
    <mergeCell ref="E2:E3"/>
    <mergeCell ref="A2:A3"/>
    <mergeCell ref="B2:B3"/>
    <mergeCell ref="C2:C3"/>
    <mergeCell ref="T2:T3"/>
    <mergeCell ref="N2:N3"/>
    <mergeCell ref="M2:M3"/>
    <mergeCell ref="S2:S3"/>
    <mergeCell ref="P2:R2"/>
    <mergeCell ref="J2:J3"/>
    <mergeCell ref="O2:O3"/>
    <mergeCell ref="K2:K3"/>
    <mergeCell ref="L2:L3"/>
  </mergeCells>
  <phoneticPr fontId="0" type="noConversion"/>
  <pageMargins left="0.15748031496062992" right="0.15748031496062992" top="0.15748031496062992" bottom="0.15748031496062992" header="0.15748031496062992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75"/>
  <sheetViews>
    <sheetView tabSelected="1" view="pageBreakPreview" topLeftCell="A49" zoomScale="115" zoomScaleNormal="100" zoomScaleSheetLayoutView="115" workbookViewId="0">
      <selection activeCell="Q65" sqref="Q65"/>
    </sheetView>
  </sheetViews>
  <sheetFormatPr defaultColWidth="8.28515625" defaultRowHeight="12.75" x14ac:dyDescent="0.2"/>
  <cols>
    <col min="1" max="1" width="4" style="3" customWidth="1"/>
    <col min="2" max="2" width="15.42578125" style="99" customWidth="1"/>
    <col min="3" max="3" width="11.28515625" style="3" customWidth="1"/>
    <col min="4" max="4" width="9.28515625" style="3" customWidth="1"/>
    <col min="5" max="6" width="7.85546875" style="3" customWidth="1"/>
    <col min="7" max="7" width="7.85546875" style="3" hidden="1" customWidth="1"/>
    <col min="8" max="8" width="7.28515625" style="3" hidden="1" customWidth="1"/>
    <col min="9" max="9" width="8.140625" style="3" hidden="1" customWidth="1"/>
    <col min="10" max="10" width="5.7109375" style="3" hidden="1" customWidth="1"/>
    <col min="11" max="11" width="9.28515625" style="3" hidden="1" customWidth="1"/>
    <col min="12" max="12" width="7.140625" style="3" customWidth="1"/>
    <col min="13" max="13" width="6.85546875" style="3" customWidth="1"/>
    <col min="14" max="14" width="5.85546875" style="3" hidden="1" customWidth="1"/>
    <col min="15" max="15" width="5.5703125" style="3" customWidth="1"/>
    <col min="16" max="16" width="6.7109375" style="3" customWidth="1"/>
    <col min="17" max="17" width="7.42578125" style="3" customWidth="1"/>
    <col min="18" max="18" width="6.28515625" style="3" hidden="1" customWidth="1"/>
    <col min="19" max="19" width="6.85546875" style="3" customWidth="1"/>
    <col min="20" max="20" width="9.28515625" style="3" hidden="1" customWidth="1"/>
    <col min="21" max="21" width="7.85546875" style="3" hidden="1" customWidth="1"/>
    <col min="22" max="22" width="8.42578125" style="8" hidden="1" customWidth="1"/>
    <col min="23" max="23" width="9.140625" style="3" hidden="1" customWidth="1"/>
    <col min="24" max="25" width="7.85546875" style="3" hidden="1" customWidth="1"/>
    <col min="26" max="26" width="4.28515625" style="3" hidden="1" customWidth="1"/>
    <col min="27" max="27" width="5.140625" style="3" hidden="1" customWidth="1"/>
    <col min="28" max="28" width="6.7109375" style="3" hidden="1" customWidth="1"/>
    <col min="29" max="29" width="5" style="3" hidden="1" customWidth="1"/>
    <col min="30" max="30" width="5.140625" style="3" hidden="1" customWidth="1"/>
    <col min="31" max="31" width="6.28515625" style="3" hidden="1" customWidth="1"/>
    <col min="32" max="32" width="4.42578125" style="3" hidden="1" customWidth="1"/>
    <col min="33" max="33" width="4.28515625" style="3" hidden="1" customWidth="1"/>
    <col min="34" max="34" width="7.42578125" style="3" hidden="1" customWidth="1"/>
    <col min="35" max="35" width="3.85546875" style="3" hidden="1" customWidth="1"/>
    <col min="36" max="36" width="4.7109375" style="3" hidden="1" customWidth="1"/>
    <col min="37" max="37" width="6" style="3" hidden="1" customWidth="1"/>
    <col min="38" max="38" width="3.85546875" style="3" hidden="1" customWidth="1"/>
    <col min="39" max="39" width="4.7109375" style="3" hidden="1" customWidth="1"/>
    <col min="40" max="40" width="6.28515625" style="3" hidden="1" customWidth="1"/>
    <col min="41" max="41" width="3.85546875" style="3" hidden="1" customWidth="1"/>
    <col min="42" max="42" width="2.7109375" style="3" hidden="1" customWidth="1"/>
    <col min="43" max="43" width="5.7109375" style="3" hidden="1" customWidth="1"/>
    <col min="44" max="45" width="8.5703125" style="3" hidden="1" customWidth="1"/>
    <col min="46" max="46" width="5.5703125" style="3" hidden="1" customWidth="1"/>
    <col min="47" max="47" width="4.7109375" style="3" hidden="1" customWidth="1"/>
    <col min="48" max="48" width="6.28515625" style="3" hidden="1" customWidth="1"/>
    <col min="49" max="49" width="3.85546875" style="3" hidden="1" customWidth="1"/>
    <col min="50" max="50" width="5.5703125" style="3" hidden="1" customWidth="1"/>
    <col min="51" max="51" width="10.5703125" style="3" customWidth="1"/>
    <col min="52" max="52" width="10" style="8" customWidth="1"/>
    <col min="53" max="53" width="0" style="80" hidden="1" customWidth="1"/>
    <col min="54" max="16384" width="8.28515625" style="80"/>
  </cols>
  <sheetData>
    <row r="1" spans="1:52" ht="15" customHeight="1" x14ac:dyDescent="0.25">
      <c r="B1" s="2" t="s">
        <v>63</v>
      </c>
      <c r="C1" s="257"/>
      <c r="D1" s="117"/>
      <c r="E1" s="117"/>
      <c r="F1" s="117"/>
      <c r="G1" s="117"/>
      <c r="H1" s="117"/>
      <c r="I1" s="257" t="s">
        <v>64</v>
      </c>
      <c r="J1" s="117"/>
      <c r="K1" s="117"/>
      <c r="L1" s="117"/>
      <c r="M1" s="117"/>
      <c r="N1" s="117"/>
      <c r="O1" s="257" t="s">
        <v>64</v>
      </c>
      <c r="P1" s="117"/>
      <c r="Q1" s="117"/>
      <c r="R1" s="117"/>
    </row>
    <row r="2" spans="1:52" ht="52.5" customHeight="1" x14ac:dyDescent="0.2">
      <c r="B2" s="300" t="s">
        <v>176</v>
      </c>
      <c r="C2" s="300"/>
      <c r="D2" s="300"/>
      <c r="G2" s="300" t="s">
        <v>175</v>
      </c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</row>
    <row r="3" spans="1:52" ht="15.75" x14ac:dyDescent="0.25">
      <c r="B3" s="2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</row>
    <row r="4" spans="1:52" ht="15" customHeight="1" x14ac:dyDescent="0.25">
      <c r="B4" s="130" t="s">
        <v>82</v>
      </c>
      <c r="C4" s="117"/>
      <c r="D4" s="117"/>
      <c r="E4" s="117"/>
      <c r="F4" s="117"/>
      <c r="G4" s="117"/>
      <c r="H4" s="117"/>
      <c r="I4" s="257" t="s">
        <v>177</v>
      </c>
      <c r="J4" s="117"/>
      <c r="K4" s="117"/>
      <c r="L4" s="117"/>
      <c r="M4" s="117"/>
      <c r="N4" s="117"/>
      <c r="O4" s="117"/>
      <c r="P4" s="117"/>
      <c r="Q4" s="117"/>
      <c r="R4" s="117"/>
    </row>
    <row r="5" spans="1:52" ht="15" customHeight="1" x14ac:dyDescent="0.2">
      <c r="J5" s="16" t="s">
        <v>0</v>
      </c>
      <c r="K5" s="269" t="s">
        <v>166</v>
      </c>
      <c r="L5" s="270"/>
      <c r="M5" s="270"/>
      <c r="N5" s="271"/>
      <c r="O5" s="161" t="s">
        <v>162</v>
      </c>
      <c r="P5" s="161" t="s">
        <v>163</v>
      </c>
      <c r="Q5" s="268" t="s">
        <v>164</v>
      </c>
      <c r="R5" s="162" t="s">
        <v>40</v>
      </c>
      <c r="S5" s="162" t="s">
        <v>40</v>
      </c>
    </row>
    <row r="6" spans="1:52" ht="15" customHeight="1" x14ac:dyDescent="0.2">
      <c r="J6" s="9">
        <v>1</v>
      </c>
      <c r="K6" s="311" t="s">
        <v>41</v>
      </c>
      <c r="L6" s="311"/>
      <c r="M6" s="311"/>
      <c r="N6" s="311"/>
      <c r="O6" s="42">
        <v>8</v>
      </c>
      <c r="P6" s="41">
        <v>5</v>
      </c>
      <c r="Q6" s="41" t="s">
        <v>165</v>
      </c>
      <c r="R6" s="9">
        <f t="shared" ref="R6:R11" si="0">SUM(O6:Q6)</f>
        <v>13</v>
      </c>
      <c r="S6" s="42">
        <f>SUM(O6:P6)</f>
        <v>13</v>
      </c>
    </row>
    <row r="7" spans="1:52" ht="15" customHeight="1" x14ac:dyDescent="0.2">
      <c r="J7" s="9">
        <v>2</v>
      </c>
      <c r="K7" s="311" t="s">
        <v>42</v>
      </c>
      <c r="L7" s="311"/>
      <c r="M7" s="311"/>
      <c r="N7" s="311"/>
      <c r="O7" s="41">
        <v>8</v>
      </c>
      <c r="P7" s="42">
        <v>5</v>
      </c>
      <c r="Q7" s="41" t="s">
        <v>165</v>
      </c>
      <c r="R7" s="9">
        <f t="shared" si="0"/>
        <v>13</v>
      </c>
      <c r="S7" s="42">
        <f t="shared" ref="S7:S12" si="1">SUM(O7:P7)</f>
        <v>13</v>
      </c>
    </row>
    <row r="8" spans="1:52" ht="15" customHeight="1" x14ac:dyDescent="0.2">
      <c r="J8" s="9">
        <v>3</v>
      </c>
      <c r="K8" s="311" t="s">
        <v>43</v>
      </c>
      <c r="L8" s="311"/>
      <c r="M8" s="311"/>
      <c r="N8" s="311"/>
      <c r="O8" s="9">
        <v>71</v>
      </c>
      <c r="P8" s="9">
        <v>80</v>
      </c>
      <c r="Q8" s="9" t="s">
        <v>165</v>
      </c>
      <c r="R8" s="9">
        <f t="shared" si="0"/>
        <v>151</v>
      </c>
      <c r="S8" s="42">
        <f t="shared" si="1"/>
        <v>151</v>
      </c>
    </row>
    <row r="9" spans="1:52" ht="15" customHeight="1" x14ac:dyDescent="0.2">
      <c r="J9" s="9">
        <v>4</v>
      </c>
      <c r="K9" s="311" t="s">
        <v>65</v>
      </c>
      <c r="L9" s="311"/>
      <c r="M9" s="311"/>
      <c r="N9" s="311"/>
      <c r="O9" s="9">
        <f>O10+O11+O12</f>
        <v>348</v>
      </c>
      <c r="P9" s="9">
        <f>P10+P11+P12</f>
        <v>420</v>
      </c>
      <c r="Q9" s="9" t="s">
        <v>165</v>
      </c>
      <c r="R9" s="9">
        <f t="shared" si="0"/>
        <v>768</v>
      </c>
      <c r="S9" s="42">
        <f t="shared" si="1"/>
        <v>768</v>
      </c>
    </row>
    <row r="10" spans="1:52" ht="15" customHeight="1" x14ac:dyDescent="0.2">
      <c r="J10" s="9">
        <v>5</v>
      </c>
      <c r="K10" s="311" t="s">
        <v>66</v>
      </c>
      <c r="L10" s="311"/>
      <c r="M10" s="311"/>
      <c r="N10" s="311"/>
      <c r="O10" s="9">
        <v>240</v>
      </c>
      <c r="P10" s="9">
        <v>186</v>
      </c>
      <c r="Q10" s="9" t="s">
        <v>165</v>
      </c>
      <c r="R10" s="9">
        <f t="shared" si="0"/>
        <v>426</v>
      </c>
      <c r="S10" s="42">
        <f t="shared" si="1"/>
        <v>426</v>
      </c>
      <c r="V10" s="6"/>
      <c r="W10" s="7"/>
      <c r="X10" s="7"/>
      <c r="Y10" s="7"/>
    </row>
    <row r="11" spans="1:52" ht="15" customHeight="1" x14ac:dyDescent="0.2">
      <c r="J11" s="9">
        <v>6</v>
      </c>
      <c r="K11" s="311" t="s">
        <v>44</v>
      </c>
      <c r="L11" s="311"/>
      <c r="M11" s="311"/>
      <c r="N11" s="311"/>
      <c r="O11" s="9">
        <v>12</v>
      </c>
      <c r="P11" s="9">
        <v>44</v>
      </c>
      <c r="Q11" s="9" t="s">
        <v>165</v>
      </c>
      <c r="R11" s="9">
        <f t="shared" si="0"/>
        <v>56</v>
      </c>
      <c r="S11" s="42">
        <f t="shared" si="1"/>
        <v>56</v>
      </c>
      <c r="Z11" s="15"/>
      <c r="AA11" s="15"/>
      <c r="AB11" s="15"/>
      <c r="AC11" s="15"/>
      <c r="AD11" s="15"/>
      <c r="AE11" s="15"/>
      <c r="AF11" s="15"/>
      <c r="AG11" s="15"/>
      <c r="AH11" s="15"/>
    </row>
    <row r="12" spans="1:52" ht="15" customHeight="1" x14ac:dyDescent="0.2">
      <c r="J12" s="9">
        <v>7</v>
      </c>
      <c r="K12" s="311" t="s">
        <v>80</v>
      </c>
      <c r="L12" s="311"/>
      <c r="M12" s="311"/>
      <c r="N12" s="311"/>
      <c r="O12" s="9">
        <v>96</v>
      </c>
      <c r="P12" s="9">
        <v>190</v>
      </c>
      <c r="Q12" s="9" t="s">
        <v>165</v>
      </c>
      <c r="R12" s="9">
        <f>SUM(O12:Q12)</f>
        <v>286</v>
      </c>
      <c r="S12" s="42">
        <f t="shared" si="1"/>
        <v>286</v>
      </c>
      <c r="Z12" s="15"/>
      <c r="AA12" s="15"/>
      <c r="AB12" s="15"/>
      <c r="AC12" s="15"/>
      <c r="AD12" s="15"/>
      <c r="AE12" s="15"/>
      <c r="AF12" s="15"/>
      <c r="AG12" s="15"/>
      <c r="AH12" s="15"/>
    </row>
    <row r="13" spans="1:52" s="85" customFormat="1" ht="32.25" customHeight="1" x14ac:dyDescent="0.25">
      <c r="A13" s="318" t="s">
        <v>298</v>
      </c>
      <c r="B13" s="318"/>
      <c r="C13" s="318"/>
      <c r="D13" s="318"/>
      <c r="E13" s="318"/>
      <c r="F13" s="318"/>
      <c r="G13" s="318"/>
      <c r="H13" s="318"/>
      <c r="I13" s="318"/>
      <c r="J13" s="318"/>
      <c r="K13" s="318"/>
      <c r="L13" s="318"/>
      <c r="M13" s="318"/>
      <c r="N13" s="318"/>
      <c r="O13" s="318"/>
      <c r="P13" s="318"/>
      <c r="Q13" s="318"/>
      <c r="R13" s="318"/>
      <c r="S13" s="318"/>
      <c r="T13" s="318"/>
      <c r="U13" s="318"/>
      <c r="V13" s="163"/>
      <c r="Z13" s="86"/>
      <c r="AA13" s="86"/>
      <c r="AB13" s="86"/>
      <c r="AC13" s="86"/>
      <c r="AD13" s="86"/>
      <c r="AE13" s="86"/>
      <c r="AF13" s="160"/>
      <c r="AG13" s="160"/>
      <c r="AH13" s="160"/>
      <c r="AZ13" s="163"/>
    </row>
    <row r="14" spans="1:52" ht="15.75" x14ac:dyDescent="0.25">
      <c r="B14" s="317"/>
      <c r="C14" s="317"/>
      <c r="D14" s="317"/>
      <c r="E14" s="317"/>
      <c r="F14" s="317"/>
      <c r="G14" s="317"/>
      <c r="H14" s="317"/>
      <c r="I14" s="317"/>
      <c r="J14" s="317"/>
      <c r="K14" s="317"/>
      <c r="L14" s="317"/>
      <c r="M14" s="317"/>
      <c r="N14" s="317"/>
      <c r="O14" s="317"/>
      <c r="P14" s="317"/>
      <c r="Q14" s="317"/>
      <c r="R14" s="317"/>
      <c r="S14" s="317"/>
      <c r="T14" s="317"/>
      <c r="U14" s="317"/>
    </row>
    <row r="15" spans="1:52" s="164" customFormat="1" ht="15" customHeight="1" x14ac:dyDescent="0.2">
      <c r="A15" s="312" t="s">
        <v>0</v>
      </c>
      <c r="B15" s="312" t="s">
        <v>38</v>
      </c>
      <c r="C15" s="312" t="s">
        <v>46</v>
      </c>
      <c r="D15" s="312" t="s">
        <v>48</v>
      </c>
      <c r="E15" s="301" t="s">
        <v>17</v>
      </c>
      <c r="F15" s="301" t="s">
        <v>27</v>
      </c>
      <c r="G15" s="319" t="s">
        <v>50</v>
      </c>
      <c r="H15" s="319"/>
      <c r="I15" s="319"/>
      <c r="J15" s="319"/>
      <c r="K15" s="319"/>
      <c r="L15" s="319"/>
      <c r="M15" s="319"/>
      <c r="N15" s="319"/>
      <c r="O15" s="319"/>
      <c r="P15" s="319"/>
      <c r="Q15" s="319"/>
      <c r="R15" s="319"/>
      <c r="S15" s="319"/>
      <c r="T15" s="319"/>
      <c r="U15" s="319"/>
      <c r="V15" s="319"/>
      <c r="W15" s="319"/>
      <c r="X15" s="313" t="s">
        <v>182</v>
      </c>
      <c r="Y15" s="314"/>
      <c r="Z15" s="303" t="s">
        <v>49</v>
      </c>
      <c r="AA15" s="304"/>
      <c r="AB15" s="304"/>
      <c r="AC15" s="304"/>
      <c r="AD15" s="304"/>
      <c r="AE15" s="304"/>
      <c r="AF15" s="304"/>
      <c r="AG15" s="304"/>
      <c r="AH15" s="304"/>
      <c r="AI15" s="304"/>
      <c r="AJ15" s="304"/>
      <c r="AK15" s="304"/>
      <c r="AL15" s="304"/>
      <c r="AM15" s="304"/>
      <c r="AN15" s="304"/>
      <c r="AO15" s="304"/>
      <c r="AP15" s="304"/>
      <c r="AQ15" s="304"/>
      <c r="AR15" s="304"/>
      <c r="AS15" s="304"/>
      <c r="AT15" s="304"/>
      <c r="AU15" s="304"/>
      <c r="AV15" s="304"/>
      <c r="AW15" s="304"/>
      <c r="AX15" s="305"/>
      <c r="AY15" s="301" t="s">
        <v>21</v>
      </c>
      <c r="AZ15" s="302" t="s">
        <v>122</v>
      </c>
    </row>
    <row r="16" spans="1:52" s="164" customFormat="1" ht="63" customHeight="1" x14ac:dyDescent="0.2">
      <c r="A16" s="312"/>
      <c r="B16" s="312"/>
      <c r="C16" s="312"/>
      <c r="D16" s="312"/>
      <c r="E16" s="301"/>
      <c r="F16" s="301"/>
      <c r="G16" s="320" t="s">
        <v>26</v>
      </c>
      <c r="H16" s="312" t="s">
        <v>2</v>
      </c>
      <c r="I16" s="312" t="s">
        <v>3</v>
      </c>
      <c r="J16" s="301" t="s">
        <v>10</v>
      </c>
      <c r="K16" s="301" t="s">
        <v>11</v>
      </c>
      <c r="L16" s="312" t="s">
        <v>4</v>
      </c>
      <c r="M16" s="312"/>
      <c r="N16" s="312"/>
      <c r="O16" s="309" t="s">
        <v>23</v>
      </c>
      <c r="P16" s="303" t="s">
        <v>5</v>
      </c>
      <c r="Q16" s="304"/>
      <c r="R16" s="305"/>
      <c r="S16" s="309" t="s">
        <v>22</v>
      </c>
      <c r="T16" s="303" t="s">
        <v>6</v>
      </c>
      <c r="U16" s="304"/>
      <c r="V16" s="305"/>
      <c r="W16" s="309" t="s">
        <v>18</v>
      </c>
      <c r="X16" s="315"/>
      <c r="Y16" s="316"/>
      <c r="Z16" s="303" t="s">
        <v>183</v>
      </c>
      <c r="AA16" s="304"/>
      <c r="AB16" s="305"/>
      <c r="AC16" s="303" t="s">
        <v>184</v>
      </c>
      <c r="AD16" s="304"/>
      <c r="AE16" s="305"/>
      <c r="AF16" s="303" t="s">
        <v>185</v>
      </c>
      <c r="AG16" s="304"/>
      <c r="AH16" s="305"/>
      <c r="AI16" s="306" t="s">
        <v>295</v>
      </c>
      <c r="AJ16" s="307"/>
      <c r="AK16" s="308"/>
      <c r="AL16" s="306" t="s">
        <v>296</v>
      </c>
      <c r="AM16" s="307"/>
      <c r="AN16" s="308"/>
      <c r="AO16" s="303" t="s">
        <v>110</v>
      </c>
      <c r="AP16" s="304"/>
      <c r="AQ16" s="305"/>
      <c r="AR16" s="303" t="s">
        <v>14</v>
      </c>
      <c r="AS16" s="305"/>
      <c r="AT16" s="303" t="s">
        <v>15</v>
      </c>
      <c r="AU16" s="304"/>
      <c r="AV16" s="305"/>
      <c r="AW16" s="303" t="s">
        <v>16</v>
      </c>
      <c r="AX16" s="305"/>
      <c r="AY16" s="301"/>
      <c r="AZ16" s="302"/>
    </row>
    <row r="17" spans="1:53" s="164" customFormat="1" ht="27.75" customHeight="1" x14ac:dyDescent="0.2">
      <c r="A17" s="312"/>
      <c r="B17" s="312"/>
      <c r="C17" s="312"/>
      <c r="D17" s="312"/>
      <c r="E17" s="301"/>
      <c r="F17" s="301"/>
      <c r="G17" s="320"/>
      <c r="H17" s="312"/>
      <c r="I17" s="312"/>
      <c r="J17" s="301"/>
      <c r="K17" s="301"/>
      <c r="L17" s="282" t="s">
        <v>179</v>
      </c>
      <c r="M17" s="282" t="s">
        <v>180</v>
      </c>
      <c r="N17" s="283" t="s">
        <v>181</v>
      </c>
      <c r="O17" s="310"/>
      <c r="P17" s="282" t="s">
        <v>179</v>
      </c>
      <c r="Q17" s="282" t="s">
        <v>180</v>
      </c>
      <c r="R17" s="283" t="s">
        <v>181</v>
      </c>
      <c r="S17" s="310"/>
      <c r="T17" s="282" t="s">
        <v>179</v>
      </c>
      <c r="U17" s="282" t="s">
        <v>180</v>
      </c>
      <c r="V17" s="283" t="s">
        <v>181</v>
      </c>
      <c r="W17" s="310"/>
      <c r="X17" s="282" t="s">
        <v>179</v>
      </c>
      <c r="Y17" s="282" t="s">
        <v>180</v>
      </c>
      <c r="Z17" s="284" t="s">
        <v>7</v>
      </c>
      <c r="AA17" s="284" t="s">
        <v>8</v>
      </c>
      <c r="AB17" s="284" t="s">
        <v>9</v>
      </c>
      <c r="AC17" s="284" t="s">
        <v>7</v>
      </c>
      <c r="AD17" s="284" t="s">
        <v>8</v>
      </c>
      <c r="AE17" s="284" t="s">
        <v>9</v>
      </c>
      <c r="AF17" s="284" t="s">
        <v>7</v>
      </c>
      <c r="AG17" s="284" t="s">
        <v>8</v>
      </c>
      <c r="AH17" s="284" t="s">
        <v>9</v>
      </c>
      <c r="AI17" s="284" t="s">
        <v>45</v>
      </c>
      <c r="AJ17" s="36" t="s">
        <v>8</v>
      </c>
      <c r="AK17" s="284" t="s">
        <v>12</v>
      </c>
      <c r="AL17" s="284" t="s">
        <v>45</v>
      </c>
      <c r="AM17" s="36" t="s">
        <v>8</v>
      </c>
      <c r="AN17" s="284" t="s">
        <v>12</v>
      </c>
      <c r="AO17" s="284" t="s">
        <v>45</v>
      </c>
      <c r="AP17" s="36" t="s">
        <v>8</v>
      </c>
      <c r="AQ17" s="284" t="s">
        <v>12</v>
      </c>
      <c r="AR17" s="282" t="s">
        <v>179</v>
      </c>
      <c r="AS17" s="282" t="s">
        <v>180</v>
      </c>
      <c r="AT17" s="284" t="s">
        <v>45</v>
      </c>
      <c r="AU17" s="36" t="s">
        <v>8</v>
      </c>
      <c r="AV17" s="284" t="s">
        <v>12</v>
      </c>
      <c r="AW17" s="36" t="s">
        <v>45</v>
      </c>
      <c r="AX17" s="284" t="s">
        <v>12</v>
      </c>
      <c r="AY17" s="301"/>
      <c r="AZ17" s="302"/>
    </row>
    <row r="18" spans="1:53" s="3" customFormat="1" ht="13.5" customHeight="1" x14ac:dyDescent="0.2">
      <c r="A18" s="288">
        <v>1</v>
      </c>
      <c r="B18" s="288">
        <v>3</v>
      </c>
      <c r="C18" s="288">
        <v>4</v>
      </c>
      <c r="D18" s="288">
        <v>6</v>
      </c>
      <c r="E18" s="288">
        <v>7</v>
      </c>
      <c r="F18" s="288">
        <v>8</v>
      </c>
      <c r="G18" s="288">
        <v>9</v>
      </c>
      <c r="H18" s="288">
        <v>10</v>
      </c>
      <c r="I18" s="288">
        <v>11</v>
      </c>
      <c r="J18" s="288">
        <v>12</v>
      </c>
      <c r="K18" s="288">
        <v>13</v>
      </c>
      <c r="L18" s="288">
        <v>14</v>
      </c>
      <c r="M18" s="288">
        <v>15</v>
      </c>
      <c r="N18" s="288">
        <v>16</v>
      </c>
      <c r="O18" s="288">
        <v>17</v>
      </c>
      <c r="P18" s="288">
        <v>18</v>
      </c>
      <c r="Q18" s="288">
        <v>19</v>
      </c>
      <c r="R18" s="288">
        <v>20</v>
      </c>
      <c r="S18" s="288">
        <v>21</v>
      </c>
      <c r="T18" s="288">
        <v>22</v>
      </c>
      <c r="U18" s="288">
        <v>23</v>
      </c>
      <c r="V18" s="288">
        <v>24</v>
      </c>
      <c r="W18" s="288">
        <v>25</v>
      </c>
      <c r="X18" s="288">
        <v>26</v>
      </c>
      <c r="Y18" s="288">
        <v>26</v>
      </c>
      <c r="Z18" s="288">
        <v>33</v>
      </c>
      <c r="AA18" s="288">
        <v>34</v>
      </c>
      <c r="AB18" s="288">
        <v>35</v>
      </c>
      <c r="AC18" s="288">
        <v>36</v>
      </c>
      <c r="AD18" s="288">
        <v>37</v>
      </c>
      <c r="AE18" s="288">
        <v>38</v>
      </c>
      <c r="AF18" s="288">
        <v>39</v>
      </c>
      <c r="AG18" s="288">
        <v>40</v>
      </c>
      <c r="AH18" s="288">
        <v>41</v>
      </c>
      <c r="AI18" s="288">
        <v>42</v>
      </c>
      <c r="AJ18" s="288">
        <v>43</v>
      </c>
      <c r="AK18" s="288">
        <v>44</v>
      </c>
      <c r="AL18" s="288">
        <v>45</v>
      </c>
      <c r="AM18" s="288">
        <v>46</v>
      </c>
      <c r="AN18" s="288">
        <v>47</v>
      </c>
      <c r="AO18" s="288">
        <v>48</v>
      </c>
      <c r="AP18" s="288">
        <v>49</v>
      </c>
      <c r="AQ18" s="288">
        <v>50</v>
      </c>
      <c r="AR18" s="288">
        <v>51</v>
      </c>
      <c r="AS18" s="288">
        <v>51</v>
      </c>
      <c r="AT18" s="288">
        <v>54</v>
      </c>
      <c r="AU18" s="288">
        <v>55</v>
      </c>
      <c r="AV18" s="288">
        <v>56</v>
      </c>
      <c r="AW18" s="288">
        <v>57</v>
      </c>
      <c r="AX18" s="288">
        <v>58</v>
      </c>
      <c r="AY18" s="288">
        <v>59</v>
      </c>
      <c r="AZ18" s="288">
        <v>60</v>
      </c>
    </row>
    <row r="19" spans="1:53" s="105" customFormat="1" ht="27" x14ac:dyDescent="0.2">
      <c r="A19" s="37">
        <v>1</v>
      </c>
      <c r="B19" s="288" t="s">
        <v>274</v>
      </c>
      <c r="C19" s="37" t="s">
        <v>51</v>
      </c>
      <c r="D19" s="82" t="s">
        <v>186</v>
      </c>
      <c r="E19" s="24" t="s">
        <v>174</v>
      </c>
      <c r="F19" s="37" t="s">
        <v>104</v>
      </c>
      <c r="G19" s="37">
        <v>4.66</v>
      </c>
      <c r="H19" s="24">
        <v>17697</v>
      </c>
      <c r="I19" s="38">
        <f>H19*G19</f>
        <v>82468.02</v>
      </c>
      <c r="J19" s="38"/>
      <c r="K19" s="38">
        <f>I19+J19</f>
        <v>82468.02</v>
      </c>
      <c r="L19" s="24"/>
      <c r="M19" s="24">
        <v>6</v>
      </c>
      <c r="N19" s="24"/>
      <c r="O19" s="24">
        <f>L19+M19+N19</f>
        <v>6</v>
      </c>
      <c r="P19" s="39">
        <f>L19/18</f>
        <v>0</v>
      </c>
      <c r="Q19" s="39">
        <f>M19/18</f>
        <v>0.33333333333333331</v>
      </c>
      <c r="R19" s="39">
        <f>N19/18</f>
        <v>0</v>
      </c>
      <c r="S19" s="39">
        <f t="shared" ref="S19:S61" si="2">P19+Q19+R19</f>
        <v>0.33333333333333331</v>
      </c>
      <c r="T19" s="38">
        <f>K19*P19</f>
        <v>0</v>
      </c>
      <c r="U19" s="38">
        <f>K19*Q19</f>
        <v>27489.34</v>
      </c>
      <c r="V19" s="38">
        <f>K19*R19</f>
        <v>0</v>
      </c>
      <c r="W19" s="38">
        <f>T19+U19+V19</f>
        <v>27489.34</v>
      </c>
      <c r="X19" s="38"/>
      <c r="Y19" s="38"/>
      <c r="Z19" s="24"/>
      <c r="AA19" s="24"/>
      <c r="AB19" s="38"/>
      <c r="AC19" s="24">
        <v>3</v>
      </c>
      <c r="AD19" s="37">
        <v>25</v>
      </c>
      <c r="AE19" s="38">
        <f>((17697/18)*AC19)*AD19/100</f>
        <v>737.375</v>
      </c>
      <c r="AF19" s="24"/>
      <c r="AG19" s="24"/>
      <c r="AH19" s="38"/>
      <c r="AI19" s="24"/>
      <c r="AJ19" s="261"/>
      <c r="AK19" s="38"/>
      <c r="AL19" s="39"/>
      <c r="AM19" s="24"/>
      <c r="AN19" s="38"/>
      <c r="AO19" s="39"/>
      <c r="AP19" s="24"/>
      <c r="AQ19" s="38"/>
      <c r="AR19" s="38">
        <f>17697*40%*P19</f>
        <v>0</v>
      </c>
      <c r="AS19" s="38">
        <f>17697*40%*Q19</f>
        <v>2359.6</v>
      </c>
      <c r="AT19" s="165"/>
      <c r="AU19" s="24"/>
      <c r="AV19" s="38"/>
      <c r="AW19" s="24"/>
      <c r="AX19" s="38"/>
      <c r="AY19" s="38">
        <f>AX19+AV19+AS19+AQ19+AN19+AK19+AH19+AE19+AB19+Y19+X19+AR19+BA19+8247</f>
        <v>19590.777000000002</v>
      </c>
      <c r="AZ19" s="38">
        <f>AY19+W19</f>
        <v>47080.116999999998</v>
      </c>
      <c r="BA19" s="38">
        <v>8246.8019999999997</v>
      </c>
    </row>
    <row r="20" spans="1:53" s="105" customFormat="1" ht="25.5" x14ac:dyDescent="0.2">
      <c r="A20" s="24">
        <v>2</v>
      </c>
      <c r="B20" s="288" t="s">
        <v>272</v>
      </c>
      <c r="C20" s="37" t="s">
        <v>54</v>
      </c>
      <c r="D20" s="82" t="s">
        <v>167</v>
      </c>
      <c r="E20" s="37" t="s">
        <v>81</v>
      </c>
      <c r="F20" s="37" t="s">
        <v>97</v>
      </c>
      <c r="G20" s="37">
        <v>3.65</v>
      </c>
      <c r="H20" s="24">
        <v>17697</v>
      </c>
      <c r="I20" s="38">
        <f>H20*G20</f>
        <v>64594.049999999996</v>
      </c>
      <c r="J20" s="38"/>
      <c r="K20" s="38">
        <f t="shared" ref="K20:K58" si="3">I20+J20</f>
        <v>64594.049999999996</v>
      </c>
      <c r="L20" s="24">
        <v>18</v>
      </c>
      <c r="M20" s="24"/>
      <c r="N20" s="24"/>
      <c r="O20" s="24">
        <f t="shared" ref="O20:O28" si="4">L20+M20+N20</f>
        <v>18</v>
      </c>
      <c r="P20" s="39">
        <f t="shared" ref="P20:R23" si="5">L20/18</f>
        <v>1</v>
      </c>
      <c r="Q20" s="39">
        <f t="shared" si="5"/>
        <v>0</v>
      </c>
      <c r="R20" s="39">
        <f t="shared" si="5"/>
        <v>0</v>
      </c>
      <c r="S20" s="39">
        <f t="shared" si="2"/>
        <v>1</v>
      </c>
      <c r="T20" s="38">
        <f t="shared" ref="T20:T58" si="6">K20*P20</f>
        <v>64594.049999999996</v>
      </c>
      <c r="U20" s="38">
        <f t="shared" ref="U20:U62" si="7">K20*Q20</f>
        <v>0</v>
      </c>
      <c r="V20" s="38">
        <f t="shared" ref="V20:V23" si="8">K20*R20</f>
        <v>0</v>
      </c>
      <c r="W20" s="38">
        <f t="shared" ref="W20:W58" si="9">T20+U20+V20</f>
        <v>64594.049999999996</v>
      </c>
      <c r="X20" s="38">
        <f t="shared" ref="X20:X33" si="10">T20*10%</f>
        <v>6459.4049999999997</v>
      </c>
      <c r="Y20" s="38">
        <f>U20*10%</f>
        <v>0</v>
      </c>
      <c r="Z20" s="37">
        <v>5</v>
      </c>
      <c r="AA20" s="37">
        <v>20</v>
      </c>
      <c r="AB20" s="38">
        <f>((17697/18)*Z20)*AA20/100</f>
        <v>983.16666666666652</v>
      </c>
      <c r="AC20" s="24"/>
      <c r="AD20" s="24"/>
      <c r="AE20" s="38"/>
      <c r="AF20" s="24"/>
      <c r="AG20" s="24"/>
      <c r="AH20" s="38"/>
      <c r="AI20" s="24">
        <v>1</v>
      </c>
      <c r="AJ20" s="261">
        <v>0.25</v>
      </c>
      <c r="AK20" s="38">
        <f>H20*AJ20</f>
        <v>4424.25</v>
      </c>
      <c r="AL20" s="39"/>
      <c r="AM20" s="24"/>
      <c r="AN20" s="38"/>
      <c r="AO20" s="39"/>
      <c r="AP20" s="24"/>
      <c r="AQ20" s="38"/>
      <c r="AR20" s="38">
        <f t="shared" ref="AR20:AR62" si="11">17697*40%*P20</f>
        <v>7078.8</v>
      </c>
      <c r="AS20" s="38">
        <f t="shared" ref="AS20:AS62" si="12">17697*40%*Q20</f>
        <v>0</v>
      </c>
      <c r="AT20" s="165"/>
      <c r="AU20" s="24"/>
      <c r="AV20" s="38"/>
      <c r="AW20" s="24"/>
      <c r="AX20" s="38"/>
      <c r="AY20" s="38">
        <f t="shared" ref="AY20:AY62" si="13">AX20+AV20+AS20+AQ20+AN20+AK20+AH20+AE20+AB20+Y20+X20+AR20+BA20</f>
        <v>38323.836666666662</v>
      </c>
      <c r="AZ20" s="38">
        <f t="shared" ref="AZ20:AZ62" si="14">AY20+W20</f>
        <v>102917.88666666666</v>
      </c>
      <c r="BA20" s="38">
        <v>19378.214999999997</v>
      </c>
    </row>
    <row r="21" spans="1:53" s="105" customFormat="1" ht="13.5" x14ac:dyDescent="0.2">
      <c r="A21" s="37">
        <v>3</v>
      </c>
      <c r="B21" s="288" t="s">
        <v>250</v>
      </c>
      <c r="C21" s="24" t="s">
        <v>51</v>
      </c>
      <c r="D21" s="83" t="s">
        <v>178</v>
      </c>
      <c r="E21" s="24" t="s">
        <v>53</v>
      </c>
      <c r="F21" s="37" t="s">
        <v>106</v>
      </c>
      <c r="G21" s="24">
        <v>5.32</v>
      </c>
      <c r="H21" s="24">
        <v>17697</v>
      </c>
      <c r="I21" s="38">
        <f t="shared" ref="I21:I62" si="15">H21*G21</f>
        <v>94148.040000000008</v>
      </c>
      <c r="J21" s="38"/>
      <c r="K21" s="38">
        <f>I21+J21</f>
        <v>94148.040000000008</v>
      </c>
      <c r="L21" s="24">
        <v>24</v>
      </c>
      <c r="M21" s="24"/>
      <c r="N21" s="24"/>
      <c r="O21" s="24">
        <f>L21+M21+N21</f>
        <v>24</v>
      </c>
      <c r="P21" s="39">
        <f>L21/18</f>
        <v>1.3333333333333333</v>
      </c>
      <c r="Q21" s="39">
        <f>M21/18</f>
        <v>0</v>
      </c>
      <c r="R21" s="39">
        <f>N21/18</f>
        <v>0</v>
      </c>
      <c r="S21" s="39">
        <f t="shared" si="2"/>
        <v>1.3333333333333333</v>
      </c>
      <c r="T21" s="38">
        <f>K21*P21</f>
        <v>125530.72</v>
      </c>
      <c r="U21" s="38">
        <f t="shared" si="7"/>
        <v>0</v>
      </c>
      <c r="V21" s="38">
        <f>K21*R21</f>
        <v>0</v>
      </c>
      <c r="W21" s="38">
        <f>T21+U21+V21</f>
        <v>125530.72</v>
      </c>
      <c r="X21" s="38">
        <f t="shared" si="10"/>
        <v>12553.072</v>
      </c>
      <c r="Y21" s="38">
        <f t="shared" ref="Y21:Y25" si="16">U21*10%</f>
        <v>0</v>
      </c>
      <c r="Z21" s="24"/>
      <c r="AA21" s="24"/>
      <c r="AB21" s="38"/>
      <c r="AC21" s="24"/>
      <c r="AD21" s="24"/>
      <c r="AE21" s="38"/>
      <c r="AF21" s="24"/>
      <c r="AG21" s="24"/>
      <c r="AH21" s="38"/>
      <c r="AI21" s="37"/>
      <c r="AJ21" s="24"/>
      <c r="AK21" s="38"/>
      <c r="AL21" s="39"/>
      <c r="AM21" s="24"/>
      <c r="AN21" s="38"/>
      <c r="AO21" s="38"/>
      <c r="AP21" s="24"/>
      <c r="AQ21" s="38"/>
      <c r="AR21" s="38">
        <f t="shared" si="11"/>
        <v>9438.4</v>
      </c>
      <c r="AS21" s="38">
        <f t="shared" si="12"/>
        <v>0</v>
      </c>
      <c r="AT21" s="39"/>
      <c r="AU21" s="24"/>
      <c r="AV21" s="38"/>
      <c r="AW21" s="24"/>
      <c r="AX21" s="38"/>
      <c r="AY21" s="38">
        <f t="shared" si="13"/>
        <v>59650.688000000002</v>
      </c>
      <c r="AZ21" s="38">
        <f>AY21+W21</f>
        <v>185181.408</v>
      </c>
      <c r="BA21" s="38">
        <v>37659.216</v>
      </c>
    </row>
    <row r="22" spans="1:53" s="105" customFormat="1" ht="25.5" x14ac:dyDescent="0.2">
      <c r="A22" s="37">
        <v>4</v>
      </c>
      <c r="B22" s="288" t="s">
        <v>271</v>
      </c>
      <c r="C22" s="37" t="s">
        <v>54</v>
      </c>
      <c r="D22" s="82" t="s">
        <v>188</v>
      </c>
      <c r="E22" s="37" t="s">
        <v>81</v>
      </c>
      <c r="F22" s="37" t="s">
        <v>97</v>
      </c>
      <c r="G22" s="37">
        <v>3.61</v>
      </c>
      <c r="H22" s="24">
        <v>17697</v>
      </c>
      <c r="I22" s="38">
        <f t="shared" si="15"/>
        <v>63886.17</v>
      </c>
      <c r="J22" s="38"/>
      <c r="K22" s="38">
        <f t="shared" si="3"/>
        <v>63886.17</v>
      </c>
      <c r="L22" s="24">
        <v>18</v>
      </c>
      <c r="M22" s="24"/>
      <c r="N22" s="24"/>
      <c r="O22" s="24">
        <f t="shared" si="4"/>
        <v>18</v>
      </c>
      <c r="P22" s="39">
        <f t="shared" ref="P22:R22" si="17">L22/18</f>
        <v>1</v>
      </c>
      <c r="Q22" s="39">
        <f t="shared" si="17"/>
        <v>0</v>
      </c>
      <c r="R22" s="39">
        <f t="shared" si="17"/>
        <v>0</v>
      </c>
      <c r="S22" s="39">
        <f t="shared" si="2"/>
        <v>1</v>
      </c>
      <c r="T22" s="38">
        <f t="shared" si="6"/>
        <v>63886.17</v>
      </c>
      <c r="U22" s="38">
        <f t="shared" si="7"/>
        <v>0</v>
      </c>
      <c r="V22" s="38">
        <f t="shared" si="8"/>
        <v>0</v>
      </c>
      <c r="W22" s="38">
        <f t="shared" si="9"/>
        <v>63886.17</v>
      </c>
      <c r="X22" s="38">
        <f t="shared" si="10"/>
        <v>6388.6170000000002</v>
      </c>
      <c r="Y22" s="38">
        <f t="shared" si="16"/>
        <v>0</v>
      </c>
      <c r="Z22" s="37">
        <v>8</v>
      </c>
      <c r="AA22" s="37">
        <v>20</v>
      </c>
      <c r="AB22" s="38">
        <f>((17697/18)*Z22)*AA22/100</f>
        <v>1573.0666666666666</v>
      </c>
      <c r="AC22" s="24"/>
      <c r="AD22" s="24"/>
      <c r="AE22" s="38"/>
      <c r="AF22" s="24"/>
      <c r="AG22" s="24"/>
      <c r="AH22" s="38"/>
      <c r="AI22" s="24">
        <v>1</v>
      </c>
      <c r="AJ22" s="261">
        <v>0.25</v>
      </c>
      <c r="AK22" s="38">
        <f>H22*AJ22</f>
        <v>4424.25</v>
      </c>
      <c r="AL22" s="39"/>
      <c r="AM22" s="24"/>
      <c r="AN22" s="38"/>
      <c r="AO22" s="39"/>
      <c r="AP22" s="24"/>
      <c r="AQ22" s="38"/>
      <c r="AR22" s="38">
        <f t="shared" si="11"/>
        <v>7078.8</v>
      </c>
      <c r="AS22" s="38">
        <f t="shared" si="12"/>
        <v>0</v>
      </c>
      <c r="AT22" s="165"/>
      <c r="AU22" s="24"/>
      <c r="AV22" s="38"/>
      <c r="AW22" s="24"/>
      <c r="AX22" s="38"/>
      <c r="AY22" s="38">
        <f t="shared" si="13"/>
        <v>38630.584666666662</v>
      </c>
      <c r="AZ22" s="38">
        <f t="shared" si="14"/>
        <v>102516.75466666666</v>
      </c>
      <c r="BA22" s="38">
        <v>19165.850999999999</v>
      </c>
    </row>
    <row r="23" spans="1:53" s="17" customFormat="1" ht="25.5" x14ac:dyDescent="0.2">
      <c r="A23" s="24">
        <v>5</v>
      </c>
      <c r="B23" s="288" t="s">
        <v>137</v>
      </c>
      <c r="C23" s="24" t="s">
        <v>51</v>
      </c>
      <c r="D23" s="83" t="s">
        <v>189</v>
      </c>
      <c r="E23" s="24" t="s">
        <v>81</v>
      </c>
      <c r="F23" s="37" t="s">
        <v>105</v>
      </c>
      <c r="G23" s="24">
        <v>4.2699999999999996</v>
      </c>
      <c r="H23" s="24">
        <v>17697</v>
      </c>
      <c r="I23" s="38">
        <f t="shared" si="15"/>
        <v>75566.189999999988</v>
      </c>
      <c r="J23" s="38"/>
      <c r="K23" s="38">
        <f t="shared" si="3"/>
        <v>75566.189999999988</v>
      </c>
      <c r="L23" s="24"/>
      <c r="M23" s="24">
        <v>20</v>
      </c>
      <c r="N23" s="24"/>
      <c r="O23" s="24">
        <f t="shared" si="4"/>
        <v>20</v>
      </c>
      <c r="P23" s="39">
        <f t="shared" si="5"/>
        <v>0</v>
      </c>
      <c r="Q23" s="39">
        <f t="shared" si="5"/>
        <v>1.1111111111111112</v>
      </c>
      <c r="R23" s="39">
        <f t="shared" si="5"/>
        <v>0</v>
      </c>
      <c r="S23" s="39">
        <f t="shared" si="2"/>
        <v>1.1111111111111112</v>
      </c>
      <c r="T23" s="38">
        <f t="shared" si="6"/>
        <v>0</v>
      </c>
      <c r="U23" s="38">
        <f t="shared" si="7"/>
        <v>83962.43333333332</v>
      </c>
      <c r="V23" s="38">
        <f t="shared" si="8"/>
        <v>0</v>
      </c>
      <c r="W23" s="38">
        <f t="shared" si="9"/>
        <v>83962.43333333332</v>
      </c>
      <c r="X23" s="38">
        <f t="shared" si="10"/>
        <v>0</v>
      </c>
      <c r="Y23" s="38">
        <f t="shared" si="16"/>
        <v>8396.243333333332</v>
      </c>
      <c r="Z23" s="24"/>
      <c r="AA23" s="24"/>
      <c r="AB23" s="38"/>
      <c r="AC23" s="24"/>
      <c r="AD23" s="24"/>
      <c r="AE23" s="38"/>
      <c r="AF23" s="24"/>
      <c r="AG23" s="24"/>
      <c r="AH23" s="38"/>
      <c r="AI23" s="24"/>
      <c r="AJ23" s="261"/>
      <c r="AK23" s="38"/>
      <c r="AL23" s="24">
        <v>1</v>
      </c>
      <c r="AM23" s="261">
        <v>0.3</v>
      </c>
      <c r="AN23" s="38">
        <f>H23*AM23</f>
        <v>5309.0999999999995</v>
      </c>
      <c r="AO23" s="39"/>
      <c r="AP23" s="24"/>
      <c r="AQ23" s="38"/>
      <c r="AR23" s="38">
        <f t="shared" si="11"/>
        <v>0</v>
      </c>
      <c r="AS23" s="38">
        <f t="shared" si="12"/>
        <v>7865.3333333333339</v>
      </c>
      <c r="AT23" s="165"/>
      <c r="AU23" s="24"/>
      <c r="AV23" s="38"/>
      <c r="AW23" s="24"/>
      <c r="AX23" s="38"/>
      <c r="AY23" s="38">
        <f t="shared" si="13"/>
        <v>46759.406666666662</v>
      </c>
      <c r="AZ23" s="38">
        <f t="shared" si="14"/>
        <v>130721.83999999998</v>
      </c>
      <c r="BA23" s="38">
        <v>25188.729999999996</v>
      </c>
    </row>
    <row r="24" spans="1:53" s="105" customFormat="1" ht="27" x14ac:dyDescent="0.2">
      <c r="A24" s="24">
        <v>6</v>
      </c>
      <c r="B24" s="288" t="s">
        <v>269</v>
      </c>
      <c r="C24" s="37" t="s">
        <v>51</v>
      </c>
      <c r="D24" s="24" t="s">
        <v>96</v>
      </c>
      <c r="E24" s="37" t="s">
        <v>81</v>
      </c>
      <c r="F24" s="37" t="s">
        <v>105</v>
      </c>
      <c r="G24" s="37">
        <v>4.7300000000000004</v>
      </c>
      <c r="H24" s="24">
        <v>17697</v>
      </c>
      <c r="I24" s="38">
        <f t="shared" si="15"/>
        <v>83706.810000000012</v>
      </c>
      <c r="J24" s="38"/>
      <c r="K24" s="38">
        <f t="shared" si="3"/>
        <v>83706.810000000012</v>
      </c>
      <c r="L24" s="37">
        <v>18</v>
      </c>
      <c r="M24" s="37"/>
      <c r="N24" s="37"/>
      <c r="O24" s="24">
        <f t="shared" si="4"/>
        <v>18</v>
      </c>
      <c r="P24" s="39">
        <f t="shared" ref="P24:R25" si="18">L24/18</f>
        <v>1</v>
      </c>
      <c r="Q24" s="39">
        <f t="shared" si="18"/>
        <v>0</v>
      </c>
      <c r="R24" s="39">
        <f t="shared" si="18"/>
        <v>0</v>
      </c>
      <c r="S24" s="39">
        <f t="shared" si="2"/>
        <v>1</v>
      </c>
      <c r="T24" s="38">
        <f t="shared" si="6"/>
        <v>83706.810000000012</v>
      </c>
      <c r="U24" s="38">
        <f t="shared" si="7"/>
        <v>0</v>
      </c>
      <c r="V24" s="38">
        <f t="shared" ref="V24:V28" si="19">K24*R24</f>
        <v>0</v>
      </c>
      <c r="W24" s="38">
        <f t="shared" si="9"/>
        <v>83706.810000000012</v>
      </c>
      <c r="X24" s="38">
        <f t="shared" si="10"/>
        <v>8370.6810000000023</v>
      </c>
      <c r="Y24" s="38">
        <f t="shared" si="16"/>
        <v>0</v>
      </c>
      <c r="Z24" s="37">
        <v>5</v>
      </c>
      <c r="AA24" s="37">
        <v>20</v>
      </c>
      <c r="AB24" s="38">
        <f>((17697/18)*Z24)*AA24/100</f>
        <v>983.16666666666652</v>
      </c>
      <c r="AC24" s="37"/>
      <c r="AD24" s="37"/>
      <c r="AE24" s="38"/>
      <c r="AF24" s="24"/>
      <c r="AG24" s="24"/>
      <c r="AH24" s="38"/>
      <c r="AI24" s="24">
        <v>1</v>
      </c>
      <c r="AJ24" s="261">
        <v>0.25</v>
      </c>
      <c r="AK24" s="38">
        <f>H24*AJ24</f>
        <v>4424.25</v>
      </c>
      <c r="AL24" s="39"/>
      <c r="AM24" s="37"/>
      <c r="AN24" s="38"/>
      <c r="AO24" s="38"/>
      <c r="AP24" s="24"/>
      <c r="AQ24" s="38"/>
      <c r="AR24" s="38">
        <f t="shared" si="11"/>
        <v>7078.8</v>
      </c>
      <c r="AS24" s="38">
        <f t="shared" si="12"/>
        <v>0</v>
      </c>
      <c r="AT24" s="39"/>
      <c r="AU24" s="37"/>
      <c r="AV24" s="38"/>
      <c r="AW24" s="37"/>
      <c r="AX24" s="38"/>
      <c r="AY24" s="38">
        <f t="shared" si="13"/>
        <v>45968.940666666669</v>
      </c>
      <c r="AZ24" s="38">
        <f t="shared" si="14"/>
        <v>129675.75066666669</v>
      </c>
      <c r="BA24" s="38">
        <v>25112.043000000001</v>
      </c>
    </row>
    <row r="25" spans="1:53" s="105" customFormat="1" ht="38.25" x14ac:dyDescent="0.2">
      <c r="A25" s="37">
        <v>7</v>
      </c>
      <c r="B25" s="288" t="s">
        <v>249</v>
      </c>
      <c r="C25" s="24" t="s">
        <v>54</v>
      </c>
      <c r="D25" s="167" t="s">
        <v>168</v>
      </c>
      <c r="E25" s="37" t="s">
        <v>53</v>
      </c>
      <c r="F25" s="37" t="s">
        <v>98</v>
      </c>
      <c r="G25" s="37">
        <v>4.4000000000000004</v>
      </c>
      <c r="H25" s="24">
        <v>17697</v>
      </c>
      <c r="I25" s="38">
        <f t="shared" si="15"/>
        <v>77866.8</v>
      </c>
      <c r="J25" s="38"/>
      <c r="K25" s="38">
        <f t="shared" si="3"/>
        <v>77866.8</v>
      </c>
      <c r="L25" s="37">
        <v>6</v>
      </c>
      <c r="M25" s="37">
        <v>6</v>
      </c>
      <c r="N25" s="37"/>
      <c r="O25" s="24">
        <f t="shared" si="4"/>
        <v>12</v>
      </c>
      <c r="P25" s="39">
        <f t="shared" si="18"/>
        <v>0.33333333333333331</v>
      </c>
      <c r="Q25" s="39">
        <f t="shared" si="18"/>
        <v>0.33333333333333331</v>
      </c>
      <c r="R25" s="39">
        <f t="shared" si="18"/>
        <v>0</v>
      </c>
      <c r="S25" s="39">
        <f t="shared" si="2"/>
        <v>0.66666666666666663</v>
      </c>
      <c r="T25" s="38">
        <f t="shared" si="6"/>
        <v>25955.599999999999</v>
      </c>
      <c r="U25" s="38">
        <f t="shared" si="7"/>
        <v>25955.599999999999</v>
      </c>
      <c r="V25" s="38">
        <f t="shared" si="19"/>
        <v>0</v>
      </c>
      <c r="W25" s="38">
        <f t="shared" si="9"/>
        <v>51911.199999999997</v>
      </c>
      <c r="X25" s="38">
        <f t="shared" si="10"/>
        <v>2595.56</v>
      </c>
      <c r="Y25" s="38">
        <f t="shared" si="16"/>
        <v>2595.56</v>
      </c>
      <c r="Z25" s="37"/>
      <c r="AA25" s="37"/>
      <c r="AB25" s="38"/>
      <c r="AC25" s="37"/>
      <c r="AD25" s="37"/>
      <c r="AE25" s="38"/>
      <c r="AF25" s="24"/>
      <c r="AG25" s="24"/>
      <c r="AH25" s="38"/>
      <c r="AI25" s="39"/>
      <c r="AJ25" s="37"/>
      <c r="AK25" s="38"/>
      <c r="AL25" s="39"/>
      <c r="AM25" s="37"/>
      <c r="AN25" s="38"/>
      <c r="AO25" s="38"/>
      <c r="AP25" s="37"/>
      <c r="AQ25" s="38"/>
      <c r="AR25" s="38">
        <f t="shared" si="11"/>
        <v>2359.6</v>
      </c>
      <c r="AS25" s="38">
        <f t="shared" si="12"/>
        <v>2359.6</v>
      </c>
      <c r="AT25" s="39"/>
      <c r="AU25" s="37"/>
      <c r="AV25" s="38"/>
      <c r="AW25" s="37"/>
      <c r="AX25" s="38"/>
      <c r="AY25" s="38">
        <f t="shared" si="13"/>
        <v>25483.68</v>
      </c>
      <c r="AZ25" s="38">
        <f t="shared" si="14"/>
        <v>77394.880000000005</v>
      </c>
      <c r="BA25" s="38">
        <v>15573.359999999999</v>
      </c>
    </row>
    <row r="26" spans="1:53" s="105" customFormat="1" ht="38.25" x14ac:dyDescent="0.2">
      <c r="A26" s="37"/>
      <c r="B26" s="288" t="s">
        <v>249</v>
      </c>
      <c r="C26" s="24" t="s">
        <v>54</v>
      </c>
      <c r="D26" s="167" t="s">
        <v>168</v>
      </c>
      <c r="E26" s="37" t="s">
        <v>81</v>
      </c>
      <c r="F26" s="37" t="s">
        <v>97</v>
      </c>
      <c r="G26" s="37">
        <v>3.65</v>
      </c>
      <c r="H26" s="24">
        <v>17697</v>
      </c>
      <c r="I26" s="38">
        <f t="shared" ref="I26" si="20">H26*G26</f>
        <v>64594.049999999996</v>
      </c>
      <c r="J26" s="38"/>
      <c r="K26" s="38">
        <f t="shared" ref="K26" si="21">I26+J26</f>
        <v>64594.049999999996</v>
      </c>
      <c r="L26" s="37"/>
      <c r="M26" s="37">
        <v>1</v>
      </c>
      <c r="N26" s="37"/>
      <c r="O26" s="24">
        <f t="shared" ref="O26" si="22">L26+M26+N26</f>
        <v>1</v>
      </c>
      <c r="P26" s="39">
        <f t="shared" ref="P26" si="23">L26/18</f>
        <v>0</v>
      </c>
      <c r="Q26" s="39">
        <f t="shared" ref="Q26" si="24">M26/18</f>
        <v>5.5555555555555552E-2</v>
      </c>
      <c r="R26" s="39">
        <f t="shared" ref="R26" si="25">N26/18</f>
        <v>0</v>
      </c>
      <c r="S26" s="39">
        <f t="shared" ref="S26" si="26">P26+Q26+R26</f>
        <v>5.5555555555555552E-2</v>
      </c>
      <c r="T26" s="38">
        <f t="shared" ref="T26" si="27">K26*P26</f>
        <v>0</v>
      </c>
      <c r="U26" s="38">
        <f t="shared" ref="U26" si="28">K26*Q26</f>
        <v>3588.5583333333329</v>
      </c>
      <c r="V26" s="38">
        <f t="shared" ref="V26" si="29">K26*R26</f>
        <v>0</v>
      </c>
      <c r="W26" s="38">
        <f t="shared" ref="W26" si="30">T26+U26+V26</f>
        <v>3588.5583333333329</v>
      </c>
      <c r="X26" s="38">
        <f t="shared" ref="X26" si="31">T26*10%</f>
        <v>0</v>
      </c>
      <c r="Y26" s="38">
        <f t="shared" ref="Y26" si="32">U26*10%</f>
        <v>358.85583333333329</v>
      </c>
      <c r="Z26" s="37"/>
      <c r="AA26" s="37"/>
      <c r="AB26" s="38"/>
      <c r="AC26" s="37"/>
      <c r="AD26" s="37"/>
      <c r="AE26" s="38"/>
      <c r="AF26" s="24"/>
      <c r="AG26" s="24"/>
      <c r="AH26" s="38"/>
      <c r="AI26" s="39"/>
      <c r="AJ26" s="37"/>
      <c r="AK26" s="38"/>
      <c r="AL26" s="39"/>
      <c r="AM26" s="37"/>
      <c r="AN26" s="38"/>
      <c r="AO26" s="38"/>
      <c r="AP26" s="37"/>
      <c r="AQ26" s="38"/>
      <c r="AR26" s="38">
        <f t="shared" ref="AR26" si="33">17697*40%*P26</f>
        <v>0</v>
      </c>
      <c r="AS26" s="38">
        <f t="shared" ref="AS26" si="34">17697*40%*Q26</f>
        <v>393.26666666666665</v>
      </c>
      <c r="AT26" s="39"/>
      <c r="AU26" s="37"/>
      <c r="AV26" s="38"/>
      <c r="AW26" s="37"/>
      <c r="AX26" s="38"/>
      <c r="AY26" s="38">
        <f t="shared" si="13"/>
        <v>1828.6899999999998</v>
      </c>
      <c r="AZ26" s="38">
        <f t="shared" ref="AZ26" si="35">AY26+W26</f>
        <v>5417.248333333333</v>
      </c>
      <c r="BA26" s="38">
        <v>1076.5674999999999</v>
      </c>
    </row>
    <row r="27" spans="1:53" s="105" customFormat="1" ht="38.25" x14ac:dyDescent="0.2">
      <c r="A27" s="37">
        <v>8</v>
      </c>
      <c r="B27" s="288" t="s">
        <v>276</v>
      </c>
      <c r="C27" s="166" t="s">
        <v>51</v>
      </c>
      <c r="D27" s="24" t="s">
        <v>190</v>
      </c>
      <c r="E27" s="37">
        <v>2</v>
      </c>
      <c r="F27" s="37" t="s">
        <v>104</v>
      </c>
      <c r="G27" s="37">
        <v>5.08</v>
      </c>
      <c r="H27" s="24">
        <v>17697</v>
      </c>
      <c r="I27" s="38">
        <f t="shared" si="15"/>
        <v>89900.76</v>
      </c>
      <c r="J27" s="38"/>
      <c r="K27" s="38">
        <f t="shared" si="3"/>
        <v>89900.76</v>
      </c>
      <c r="L27" s="37">
        <v>4</v>
      </c>
      <c r="M27" s="37">
        <v>20</v>
      </c>
      <c r="N27" s="37"/>
      <c r="O27" s="24">
        <f t="shared" si="4"/>
        <v>24</v>
      </c>
      <c r="P27" s="39">
        <f t="shared" ref="P27:P36" si="36">L27/18</f>
        <v>0.22222222222222221</v>
      </c>
      <c r="Q27" s="39">
        <f t="shared" ref="Q27:Q30" si="37">M27/18</f>
        <v>1.1111111111111112</v>
      </c>
      <c r="R27" s="39">
        <f t="shared" ref="R27:R33" si="38">N27/18</f>
        <v>0</v>
      </c>
      <c r="S27" s="39">
        <f t="shared" si="2"/>
        <v>1.3333333333333335</v>
      </c>
      <c r="T27" s="38">
        <f t="shared" si="6"/>
        <v>19977.946666666663</v>
      </c>
      <c r="U27" s="38">
        <f t="shared" si="7"/>
        <v>99889.733333333337</v>
      </c>
      <c r="V27" s="38">
        <f t="shared" si="19"/>
        <v>0</v>
      </c>
      <c r="W27" s="38">
        <f t="shared" si="9"/>
        <v>119867.68</v>
      </c>
      <c r="X27" s="38">
        <f t="shared" si="10"/>
        <v>1997.7946666666664</v>
      </c>
      <c r="Y27" s="38">
        <f t="shared" ref="Y27:Y33" si="39">U27*10%</f>
        <v>9988.9733333333352</v>
      </c>
      <c r="Z27" s="37"/>
      <c r="AA27" s="37"/>
      <c r="AB27" s="38">
        <f>((17697/18)*Z27)*AA27/100</f>
        <v>0</v>
      </c>
      <c r="AC27" s="37">
        <v>15</v>
      </c>
      <c r="AD27" s="37">
        <v>25</v>
      </c>
      <c r="AE27" s="38">
        <f>((17697/18)*AC27)*AD27/100</f>
        <v>3686.875</v>
      </c>
      <c r="AF27" s="24"/>
      <c r="AG27" s="24"/>
      <c r="AH27" s="38"/>
      <c r="AI27" s="24"/>
      <c r="AJ27" s="261"/>
      <c r="AK27" s="38"/>
      <c r="AL27" s="24">
        <v>1</v>
      </c>
      <c r="AM27" s="261">
        <v>0.3</v>
      </c>
      <c r="AN27" s="38">
        <f>H27*AM27</f>
        <v>5309.0999999999995</v>
      </c>
      <c r="AO27" s="38"/>
      <c r="AP27" s="37"/>
      <c r="AQ27" s="38"/>
      <c r="AR27" s="38">
        <f t="shared" si="11"/>
        <v>1573.0666666666666</v>
      </c>
      <c r="AS27" s="38">
        <f t="shared" si="12"/>
        <v>7865.3333333333339</v>
      </c>
      <c r="AT27" s="39"/>
      <c r="AU27" s="37"/>
      <c r="AV27" s="38"/>
      <c r="AW27" s="37"/>
      <c r="AX27" s="38"/>
      <c r="AY27" s="38">
        <f t="shared" si="13"/>
        <v>66381.447</v>
      </c>
      <c r="AZ27" s="38">
        <f t="shared" si="14"/>
        <v>186249.12699999998</v>
      </c>
      <c r="BA27" s="38">
        <v>35960.303999999996</v>
      </c>
    </row>
    <row r="28" spans="1:53" s="105" customFormat="1" ht="27" x14ac:dyDescent="0.2">
      <c r="A28" s="37">
        <v>9</v>
      </c>
      <c r="B28" s="288" t="s">
        <v>252</v>
      </c>
      <c r="C28" s="37" t="s">
        <v>51</v>
      </c>
      <c r="D28" s="24" t="s">
        <v>96</v>
      </c>
      <c r="E28" s="37" t="s">
        <v>53</v>
      </c>
      <c r="F28" s="37" t="s">
        <v>106</v>
      </c>
      <c r="G28" s="37">
        <v>5.41</v>
      </c>
      <c r="H28" s="24">
        <v>17697</v>
      </c>
      <c r="I28" s="38">
        <f t="shared" si="15"/>
        <v>95740.77</v>
      </c>
      <c r="J28" s="38"/>
      <c r="K28" s="38">
        <f t="shared" si="3"/>
        <v>95740.77</v>
      </c>
      <c r="L28" s="37">
        <v>8</v>
      </c>
      <c r="M28" s="37">
        <v>10</v>
      </c>
      <c r="N28" s="37"/>
      <c r="O28" s="24">
        <f t="shared" si="4"/>
        <v>18</v>
      </c>
      <c r="P28" s="39">
        <f>L28/18</f>
        <v>0.44444444444444442</v>
      </c>
      <c r="Q28" s="39">
        <f t="shared" si="37"/>
        <v>0.55555555555555558</v>
      </c>
      <c r="R28" s="39">
        <f>N28/18</f>
        <v>0</v>
      </c>
      <c r="S28" s="39">
        <f t="shared" si="2"/>
        <v>1</v>
      </c>
      <c r="T28" s="38">
        <f t="shared" si="6"/>
        <v>42551.453333333331</v>
      </c>
      <c r="U28" s="38">
        <f t="shared" si="7"/>
        <v>53189.316666666673</v>
      </c>
      <c r="V28" s="38">
        <f t="shared" si="19"/>
        <v>0</v>
      </c>
      <c r="W28" s="38">
        <f t="shared" si="9"/>
        <v>95740.77</v>
      </c>
      <c r="X28" s="38">
        <f t="shared" si="10"/>
        <v>4255.1453333333329</v>
      </c>
      <c r="Y28" s="38">
        <f t="shared" si="39"/>
        <v>5318.9316666666673</v>
      </c>
      <c r="Z28" s="37"/>
      <c r="AA28" s="37"/>
      <c r="AB28" s="38"/>
      <c r="AC28" s="37"/>
      <c r="AD28" s="37"/>
      <c r="AE28" s="38"/>
      <c r="AF28" s="24"/>
      <c r="AG28" s="24"/>
      <c r="AH28" s="38"/>
      <c r="AI28" s="39"/>
      <c r="AJ28" s="37"/>
      <c r="AK28" s="38"/>
      <c r="AL28" s="39"/>
      <c r="AM28" s="37"/>
      <c r="AN28" s="38"/>
      <c r="AO28" s="38"/>
      <c r="AP28" s="37"/>
      <c r="AQ28" s="38"/>
      <c r="AR28" s="38">
        <f t="shared" si="11"/>
        <v>3146.1333333333332</v>
      </c>
      <c r="AS28" s="38">
        <f t="shared" si="12"/>
        <v>3932.666666666667</v>
      </c>
      <c r="AT28" s="39"/>
      <c r="AU28" s="37"/>
      <c r="AV28" s="38"/>
      <c r="AW28" s="37"/>
      <c r="AX28" s="38"/>
      <c r="AY28" s="38">
        <f t="shared" si="13"/>
        <v>45375.108</v>
      </c>
      <c r="AZ28" s="38">
        <f t="shared" si="14"/>
        <v>141115.878</v>
      </c>
      <c r="BA28" s="38">
        <v>28722.231</v>
      </c>
    </row>
    <row r="29" spans="1:53" s="105" customFormat="1" ht="25.5" x14ac:dyDescent="0.2">
      <c r="A29" s="37">
        <v>10</v>
      </c>
      <c r="B29" s="288" t="s">
        <v>280</v>
      </c>
      <c r="C29" s="24" t="s">
        <v>54</v>
      </c>
      <c r="D29" s="167" t="s">
        <v>191</v>
      </c>
      <c r="E29" s="167" t="s">
        <v>53</v>
      </c>
      <c r="F29" s="167" t="s">
        <v>98</v>
      </c>
      <c r="G29" s="167">
        <v>4.45</v>
      </c>
      <c r="H29" s="24">
        <v>17697</v>
      </c>
      <c r="I29" s="38">
        <f t="shared" si="15"/>
        <v>78751.650000000009</v>
      </c>
      <c r="J29" s="38"/>
      <c r="K29" s="38">
        <f t="shared" si="3"/>
        <v>78751.650000000009</v>
      </c>
      <c r="L29" s="37">
        <v>18</v>
      </c>
      <c r="M29" s="37"/>
      <c r="N29" s="37"/>
      <c r="O29" s="24">
        <f t="shared" ref="O29:O45" si="40">L29+M29+N29</f>
        <v>18</v>
      </c>
      <c r="P29" s="39">
        <f>L29/18</f>
        <v>1</v>
      </c>
      <c r="Q29" s="39">
        <f t="shared" si="37"/>
        <v>0</v>
      </c>
      <c r="R29" s="39">
        <f t="shared" si="38"/>
        <v>0</v>
      </c>
      <c r="S29" s="39">
        <f t="shared" si="2"/>
        <v>1</v>
      </c>
      <c r="T29" s="38">
        <f t="shared" si="6"/>
        <v>78751.650000000009</v>
      </c>
      <c r="U29" s="38">
        <f>K29*Q29</f>
        <v>0</v>
      </c>
      <c r="V29" s="38">
        <f t="shared" ref="V29:V33" si="41">K29*R29</f>
        <v>0</v>
      </c>
      <c r="W29" s="38">
        <f t="shared" si="9"/>
        <v>78751.650000000009</v>
      </c>
      <c r="X29" s="38">
        <f t="shared" si="10"/>
        <v>7875.1650000000009</v>
      </c>
      <c r="Y29" s="38">
        <f>U29*10%</f>
        <v>0</v>
      </c>
      <c r="Z29" s="37">
        <v>5</v>
      </c>
      <c r="AA29" s="37">
        <v>20</v>
      </c>
      <c r="AB29" s="38">
        <f>((17697/18)*Z29)*AA29/100</f>
        <v>983.16666666666652</v>
      </c>
      <c r="AC29" s="37"/>
      <c r="AD29" s="37"/>
      <c r="AE29" s="38"/>
      <c r="AF29" s="24"/>
      <c r="AG29" s="24"/>
      <c r="AH29" s="38"/>
      <c r="AI29" s="24">
        <v>1</v>
      </c>
      <c r="AJ29" s="261">
        <v>0.25</v>
      </c>
      <c r="AK29" s="38">
        <f>H29*AJ29</f>
        <v>4424.25</v>
      </c>
      <c r="AL29" s="39"/>
      <c r="AM29" s="37"/>
      <c r="AN29" s="38"/>
      <c r="AO29" s="38"/>
      <c r="AP29" s="37"/>
      <c r="AQ29" s="38"/>
      <c r="AR29" s="38">
        <f t="shared" si="11"/>
        <v>7078.8</v>
      </c>
      <c r="AS29" s="38">
        <f t="shared" si="12"/>
        <v>0</v>
      </c>
      <c r="AT29" s="39"/>
      <c r="AU29" s="37"/>
      <c r="AV29" s="38"/>
      <c r="AW29" s="37"/>
      <c r="AX29" s="38"/>
      <c r="AY29" s="38">
        <f t="shared" si="13"/>
        <v>43986.876666666671</v>
      </c>
      <c r="AZ29" s="38">
        <f t="shared" si="14"/>
        <v>122738.52666666667</v>
      </c>
      <c r="BA29" s="38">
        <v>23625.495000000003</v>
      </c>
    </row>
    <row r="30" spans="1:53" s="105" customFormat="1" ht="13.5" x14ac:dyDescent="0.2">
      <c r="A30" s="37"/>
      <c r="B30" s="288" t="s">
        <v>253</v>
      </c>
      <c r="C30" s="166" t="s">
        <v>51</v>
      </c>
      <c r="D30" s="167" t="s">
        <v>191</v>
      </c>
      <c r="E30" s="167" t="s">
        <v>53</v>
      </c>
      <c r="F30" s="167" t="s">
        <v>106</v>
      </c>
      <c r="G30" s="167">
        <v>5.32</v>
      </c>
      <c r="H30" s="24">
        <v>17697</v>
      </c>
      <c r="I30" s="38">
        <f t="shared" si="15"/>
        <v>94148.040000000008</v>
      </c>
      <c r="J30" s="38"/>
      <c r="K30" s="38">
        <f t="shared" si="3"/>
        <v>94148.040000000008</v>
      </c>
      <c r="L30" s="37">
        <v>4</v>
      </c>
      <c r="M30" s="37">
        <v>1</v>
      </c>
      <c r="N30" s="37"/>
      <c r="O30" s="24">
        <f t="shared" si="40"/>
        <v>5</v>
      </c>
      <c r="P30" s="39">
        <f t="shared" si="36"/>
        <v>0.22222222222222221</v>
      </c>
      <c r="Q30" s="39">
        <f t="shared" si="37"/>
        <v>5.5555555555555552E-2</v>
      </c>
      <c r="R30" s="39">
        <f t="shared" si="38"/>
        <v>0</v>
      </c>
      <c r="S30" s="39">
        <f t="shared" si="2"/>
        <v>0.27777777777777779</v>
      </c>
      <c r="T30" s="38">
        <f t="shared" si="6"/>
        <v>20921.786666666667</v>
      </c>
      <c r="U30" s="38">
        <f t="shared" si="7"/>
        <v>5230.4466666666667</v>
      </c>
      <c r="V30" s="38">
        <f t="shared" si="41"/>
        <v>0</v>
      </c>
      <c r="W30" s="38">
        <f t="shared" si="9"/>
        <v>26152.233333333334</v>
      </c>
      <c r="X30" s="38">
        <f t="shared" si="10"/>
        <v>2092.1786666666667</v>
      </c>
      <c r="Y30" s="38">
        <f t="shared" si="39"/>
        <v>523.04466666666667</v>
      </c>
      <c r="Z30" s="37"/>
      <c r="AA30" s="37"/>
      <c r="AB30" s="38"/>
      <c r="AC30" s="37"/>
      <c r="AD30" s="37"/>
      <c r="AE30" s="38"/>
      <c r="AF30" s="24"/>
      <c r="AG30" s="24"/>
      <c r="AH30" s="38"/>
      <c r="AI30" s="39"/>
      <c r="AJ30" s="37"/>
      <c r="AK30" s="38"/>
      <c r="AL30" s="39"/>
      <c r="AM30" s="37"/>
      <c r="AN30" s="38"/>
      <c r="AO30" s="38"/>
      <c r="AP30" s="37"/>
      <c r="AQ30" s="38"/>
      <c r="AR30" s="38">
        <f t="shared" si="11"/>
        <v>1573.0666666666666</v>
      </c>
      <c r="AS30" s="38">
        <f t="shared" si="12"/>
        <v>393.26666666666665</v>
      </c>
      <c r="AT30" s="39"/>
      <c r="AU30" s="37"/>
      <c r="AV30" s="38"/>
      <c r="AW30" s="37"/>
      <c r="AX30" s="38"/>
      <c r="AY30" s="38">
        <f t="shared" si="13"/>
        <v>12427.226666666666</v>
      </c>
      <c r="AZ30" s="38">
        <f t="shared" si="14"/>
        <v>38579.46</v>
      </c>
      <c r="BA30" s="38">
        <v>7845.67</v>
      </c>
    </row>
    <row r="31" spans="1:53" s="105" customFormat="1" ht="13.5" x14ac:dyDescent="0.2">
      <c r="A31" s="37">
        <v>11</v>
      </c>
      <c r="B31" s="288" t="s">
        <v>253</v>
      </c>
      <c r="C31" s="166" t="s">
        <v>54</v>
      </c>
      <c r="D31" s="40" t="s">
        <v>193</v>
      </c>
      <c r="E31" s="24" t="s">
        <v>81</v>
      </c>
      <c r="F31" s="37" t="s">
        <v>97</v>
      </c>
      <c r="G31" s="37">
        <v>3.45</v>
      </c>
      <c r="H31" s="24">
        <v>17697</v>
      </c>
      <c r="I31" s="38">
        <f t="shared" si="15"/>
        <v>61054.65</v>
      </c>
      <c r="J31" s="38"/>
      <c r="K31" s="38">
        <f t="shared" si="3"/>
        <v>61054.65</v>
      </c>
      <c r="L31" s="37">
        <v>8</v>
      </c>
      <c r="M31" s="37"/>
      <c r="N31" s="37"/>
      <c r="O31" s="24">
        <f>L31+M31+N31</f>
        <v>8</v>
      </c>
      <c r="P31" s="39">
        <f t="shared" ref="P31:R31" si="42">L31/18</f>
        <v>0.44444444444444442</v>
      </c>
      <c r="Q31" s="39">
        <f t="shared" si="42"/>
        <v>0</v>
      </c>
      <c r="R31" s="39">
        <f t="shared" si="42"/>
        <v>0</v>
      </c>
      <c r="S31" s="39">
        <f t="shared" si="2"/>
        <v>0.44444444444444442</v>
      </c>
      <c r="T31" s="38">
        <f t="shared" si="6"/>
        <v>27135.399999999998</v>
      </c>
      <c r="U31" s="38">
        <f t="shared" si="7"/>
        <v>0</v>
      </c>
      <c r="V31" s="38">
        <f>K31*R31</f>
        <v>0</v>
      </c>
      <c r="W31" s="38">
        <f t="shared" si="9"/>
        <v>27135.399999999998</v>
      </c>
      <c r="X31" s="38">
        <f t="shared" si="10"/>
        <v>2713.54</v>
      </c>
      <c r="Y31" s="38">
        <f t="shared" si="39"/>
        <v>0</v>
      </c>
      <c r="Z31" s="37"/>
      <c r="AA31" s="37"/>
      <c r="AB31" s="38"/>
      <c r="AC31" s="37"/>
      <c r="AD31" s="37"/>
      <c r="AE31" s="38"/>
      <c r="AF31" s="24"/>
      <c r="AG31" s="24"/>
      <c r="AH31" s="38"/>
      <c r="AI31" s="39"/>
      <c r="AJ31" s="37"/>
      <c r="AK31" s="38"/>
      <c r="AL31" s="39"/>
      <c r="AM31" s="37"/>
      <c r="AN31" s="38"/>
      <c r="AO31" s="38"/>
      <c r="AP31" s="37"/>
      <c r="AQ31" s="38"/>
      <c r="AR31" s="38">
        <f t="shared" si="11"/>
        <v>3146.1333333333332</v>
      </c>
      <c r="AS31" s="38">
        <f t="shared" si="12"/>
        <v>0</v>
      </c>
      <c r="AT31" s="39"/>
      <c r="AU31" s="37"/>
      <c r="AV31" s="38"/>
      <c r="AW31" s="37"/>
      <c r="AX31" s="38"/>
      <c r="AY31" s="38">
        <f t="shared" si="13"/>
        <v>14000.293333333331</v>
      </c>
      <c r="AZ31" s="38">
        <f t="shared" si="14"/>
        <v>41135.693333333329</v>
      </c>
      <c r="BA31" s="38">
        <v>8140.619999999999</v>
      </c>
    </row>
    <row r="32" spans="1:53" s="105" customFormat="1" ht="25.5" x14ac:dyDescent="0.2">
      <c r="A32" s="37">
        <v>12</v>
      </c>
      <c r="B32" s="288" t="s">
        <v>254</v>
      </c>
      <c r="C32" s="37" t="s">
        <v>51</v>
      </c>
      <c r="D32" s="24" t="s">
        <v>194</v>
      </c>
      <c r="E32" s="37">
        <v>1</v>
      </c>
      <c r="F32" s="37" t="s">
        <v>107</v>
      </c>
      <c r="G32" s="37">
        <v>5.12</v>
      </c>
      <c r="H32" s="24">
        <v>17697</v>
      </c>
      <c r="I32" s="38">
        <f t="shared" si="15"/>
        <v>90608.639999999999</v>
      </c>
      <c r="J32" s="38"/>
      <c r="K32" s="38">
        <f t="shared" si="3"/>
        <v>90608.639999999999</v>
      </c>
      <c r="L32" s="37"/>
      <c r="M32" s="37">
        <v>20</v>
      </c>
      <c r="N32" s="37"/>
      <c r="O32" s="24">
        <f t="shared" si="40"/>
        <v>20</v>
      </c>
      <c r="P32" s="39">
        <f t="shared" si="36"/>
        <v>0</v>
      </c>
      <c r="Q32" s="39">
        <f t="shared" ref="Q32:Q36" si="43">M32/18</f>
        <v>1.1111111111111112</v>
      </c>
      <c r="R32" s="39">
        <f t="shared" si="38"/>
        <v>0</v>
      </c>
      <c r="S32" s="39">
        <f t="shared" si="2"/>
        <v>1.1111111111111112</v>
      </c>
      <c r="T32" s="38">
        <f t="shared" si="6"/>
        <v>0</v>
      </c>
      <c r="U32" s="38">
        <f t="shared" si="7"/>
        <v>100676.26666666668</v>
      </c>
      <c r="V32" s="38">
        <f t="shared" si="41"/>
        <v>0</v>
      </c>
      <c r="W32" s="38">
        <f t="shared" si="9"/>
        <v>100676.26666666668</v>
      </c>
      <c r="X32" s="38">
        <f t="shared" si="10"/>
        <v>0</v>
      </c>
      <c r="Y32" s="38">
        <f t="shared" si="39"/>
        <v>10067.626666666669</v>
      </c>
      <c r="Z32" s="37"/>
      <c r="AA32" s="37"/>
      <c r="AB32" s="38"/>
      <c r="AC32" s="37"/>
      <c r="AD32" s="37"/>
      <c r="AE32" s="38"/>
      <c r="AF32" s="24"/>
      <c r="AG32" s="24"/>
      <c r="AH32" s="38"/>
      <c r="AI32" s="39"/>
      <c r="AJ32" s="37"/>
      <c r="AK32" s="38"/>
      <c r="AL32" s="39"/>
      <c r="AM32" s="37"/>
      <c r="AN32" s="38"/>
      <c r="AO32" s="38"/>
      <c r="AP32" s="37"/>
      <c r="AQ32" s="38"/>
      <c r="AR32" s="38">
        <f t="shared" si="11"/>
        <v>0</v>
      </c>
      <c r="AS32" s="38">
        <f t="shared" si="12"/>
        <v>7865.3333333333339</v>
      </c>
      <c r="AT32" s="39"/>
      <c r="AU32" s="37"/>
      <c r="AV32" s="38"/>
      <c r="AW32" s="37"/>
      <c r="AX32" s="38"/>
      <c r="AY32" s="38">
        <f t="shared" si="13"/>
        <v>48135.840000000004</v>
      </c>
      <c r="AZ32" s="38">
        <f t="shared" si="14"/>
        <v>148812.10666666669</v>
      </c>
      <c r="BA32" s="38">
        <v>30202.880000000001</v>
      </c>
    </row>
    <row r="33" spans="1:53" s="105" customFormat="1" ht="25.5" x14ac:dyDescent="0.2">
      <c r="A33" s="37">
        <v>13</v>
      </c>
      <c r="B33" s="288" t="s">
        <v>255</v>
      </c>
      <c r="C33" s="37" t="s">
        <v>51</v>
      </c>
      <c r="D33" s="40" t="s">
        <v>195</v>
      </c>
      <c r="E33" s="37" t="s">
        <v>81</v>
      </c>
      <c r="F33" s="37" t="s">
        <v>105</v>
      </c>
      <c r="G33" s="37">
        <v>4.38</v>
      </c>
      <c r="H33" s="24">
        <v>17697</v>
      </c>
      <c r="I33" s="38">
        <f t="shared" si="15"/>
        <v>77512.86</v>
      </c>
      <c r="J33" s="38"/>
      <c r="K33" s="38">
        <f t="shared" si="3"/>
        <v>77512.86</v>
      </c>
      <c r="L33" s="37"/>
      <c r="M33" s="37">
        <v>20</v>
      </c>
      <c r="N33" s="37"/>
      <c r="O33" s="24">
        <f t="shared" si="40"/>
        <v>20</v>
      </c>
      <c r="P33" s="39">
        <f t="shared" si="36"/>
        <v>0</v>
      </c>
      <c r="Q33" s="39">
        <f t="shared" si="43"/>
        <v>1.1111111111111112</v>
      </c>
      <c r="R33" s="39">
        <f t="shared" si="38"/>
        <v>0</v>
      </c>
      <c r="S33" s="39">
        <f t="shared" si="2"/>
        <v>1.1111111111111112</v>
      </c>
      <c r="T33" s="38">
        <f t="shared" si="6"/>
        <v>0</v>
      </c>
      <c r="U33" s="38">
        <f t="shared" si="7"/>
        <v>86125.400000000009</v>
      </c>
      <c r="V33" s="38">
        <f t="shared" si="41"/>
        <v>0</v>
      </c>
      <c r="W33" s="38">
        <f t="shared" si="9"/>
        <v>86125.400000000009</v>
      </c>
      <c r="X33" s="38">
        <f t="shared" si="10"/>
        <v>0</v>
      </c>
      <c r="Y33" s="38">
        <f t="shared" si="39"/>
        <v>8612.5400000000009</v>
      </c>
      <c r="Z33" s="37"/>
      <c r="AA33" s="37"/>
      <c r="AB33" s="38"/>
      <c r="AC33" s="37"/>
      <c r="AD33" s="37"/>
      <c r="AE33" s="38"/>
      <c r="AF33" s="24"/>
      <c r="AG33" s="24"/>
      <c r="AH33" s="38"/>
      <c r="AI33" s="39"/>
      <c r="AJ33" s="37"/>
      <c r="AK33" s="38"/>
      <c r="AL33" s="39"/>
      <c r="AM33" s="37"/>
      <c r="AN33" s="38"/>
      <c r="AO33" s="38"/>
      <c r="AP33" s="37"/>
      <c r="AQ33" s="38"/>
      <c r="AR33" s="38">
        <f t="shared" si="11"/>
        <v>0</v>
      </c>
      <c r="AS33" s="38">
        <f t="shared" si="12"/>
        <v>7865.3333333333339</v>
      </c>
      <c r="AT33" s="39"/>
      <c r="AU33" s="37"/>
      <c r="AV33" s="38"/>
      <c r="AW33" s="37"/>
      <c r="AX33" s="38"/>
      <c r="AY33" s="38">
        <f t="shared" si="13"/>
        <v>42315.493333333339</v>
      </c>
      <c r="AZ33" s="38">
        <f t="shared" si="14"/>
        <v>128440.89333333334</v>
      </c>
      <c r="BA33" s="38">
        <v>25837.620000000003</v>
      </c>
    </row>
    <row r="34" spans="1:53" s="105" customFormat="1" ht="13.5" x14ac:dyDescent="0.2">
      <c r="A34" s="37">
        <v>14</v>
      </c>
      <c r="B34" s="288" t="s">
        <v>283</v>
      </c>
      <c r="C34" s="37" t="s">
        <v>51</v>
      </c>
      <c r="D34" s="177" t="s">
        <v>154</v>
      </c>
      <c r="E34" s="37" t="s">
        <v>53</v>
      </c>
      <c r="F34" s="37" t="s">
        <v>106</v>
      </c>
      <c r="G34" s="37">
        <v>5.32</v>
      </c>
      <c r="H34" s="24">
        <v>17697</v>
      </c>
      <c r="I34" s="38">
        <f t="shared" si="15"/>
        <v>94148.040000000008</v>
      </c>
      <c r="J34" s="38"/>
      <c r="K34" s="38">
        <f>I34+J34</f>
        <v>94148.040000000008</v>
      </c>
      <c r="L34" s="37">
        <v>4</v>
      </c>
      <c r="M34" s="37">
        <v>5</v>
      </c>
      <c r="N34" s="37"/>
      <c r="O34" s="24">
        <f>L34+M34+N34</f>
        <v>9</v>
      </c>
      <c r="P34" s="39">
        <f>L34/18</f>
        <v>0.22222222222222221</v>
      </c>
      <c r="Q34" s="39">
        <f>M34/18</f>
        <v>0.27777777777777779</v>
      </c>
      <c r="R34" s="39"/>
      <c r="S34" s="39">
        <f t="shared" si="2"/>
        <v>0.5</v>
      </c>
      <c r="T34" s="38">
        <f>K34*P34</f>
        <v>20921.786666666667</v>
      </c>
      <c r="U34" s="38">
        <f t="shared" si="7"/>
        <v>26152.233333333337</v>
      </c>
      <c r="V34" s="38">
        <f>K34*R34</f>
        <v>0</v>
      </c>
      <c r="W34" s="38">
        <f>T34+U34+V34</f>
        <v>47074.020000000004</v>
      </c>
      <c r="X34" s="38"/>
      <c r="Y34" s="38"/>
      <c r="Z34" s="37"/>
      <c r="AA34" s="37"/>
      <c r="AB34" s="38">
        <f>((17697/18)*Z34)*AA34/100</f>
        <v>0</v>
      </c>
      <c r="AC34" s="37"/>
      <c r="AD34" s="37"/>
      <c r="AE34" s="38"/>
      <c r="AF34" s="24"/>
      <c r="AG34" s="24"/>
      <c r="AH34" s="38"/>
      <c r="AI34" s="39"/>
      <c r="AJ34" s="37"/>
      <c r="AK34" s="38"/>
      <c r="AL34" s="39"/>
      <c r="AM34" s="37"/>
      <c r="AN34" s="38"/>
      <c r="AO34" s="38"/>
      <c r="AP34" s="37"/>
      <c r="AQ34" s="38"/>
      <c r="AR34" s="38">
        <f t="shared" si="11"/>
        <v>1573.0666666666666</v>
      </c>
      <c r="AS34" s="38">
        <f t="shared" si="12"/>
        <v>1966.3333333333335</v>
      </c>
      <c r="AT34" s="39"/>
      <c r="AU34" s="37"/>
      <c r="AV34" s="38"/>
      <c r="AW34" s="37"/>
      <c r="AX34" s="38"/>
      <c r="AY34" s="38">
        <f t="shared" si="13"/>
        <v>17661.606000000003</v>
      </c>
      <c r="AZ34" s="38">
        <f>AY34+W34</f>
        <v>64735.626000000004</v>
      </c>
      <c r="BA34" s="38">
        <v>14122.206000000002</v>
      </c>
    </row>
    <row r="35" spans="1:53" s="105" customFormat="1" ht="25.5" x14ac:dyDescent="0.2">
      <c r="A35" s="37">
        <v>15</v>
      </c>
      <c r="B35" s="288" t="s">
        <v>279</v>
      </c>
      <c r="C35" s="37" t="s">
        <v>51</v>
      </c>
      <c r="D35" s="37" t="s">
        <v>196</v>
      </c>
      <c r="E35" s="37">
        <v>1</v>
      </c>
      <c r="F35" s="37" t="s">
        <v>107</v>
      </c>
      <c r="G35" s="37">
        <v>5.12</v>
      </c>
      <c r="H35" s="24">
        <v>17697</v>
      </c>
      <c r="I35" s="38">
        <f t="shared" si="15"/>
        <v>90608.639999999999</v>
      </c>
      <c r="J35" s="38"/>
      <c r="K35" s="38">
        <f t="shared" si="3"/>
        <v>90608.639999999999</v>
      </c>
      <c r="L35" s="37">
        <v>8</v>
      </c>
      <c r="M35" s="37">
        <v>10</v>
      </c>
      <c r="N35" s="37"/>
      <c r="O35" s="24">
        <f t="shared" si="40"/>
        <v>18</v>
      </c>
      <c r="P35" s="39">
        <f t="shared" si="36"/>
        <v>0.44444444444444442</v>
      </c>
      <c r="Q35" s="39">
        <f t="shared" si="43"/>
        <v>0.55555555555555558</v>
      </c>
      <c r="R35" s="39">
        <f>N35/18</f>
        <v>0</v>
      </c>
      <c r="S35" s="39">
        <f t="shared" si="2"/>
        <v>1</v>
      </c>
      <c r="T35" s="38">
        <f t="shared" si="6"/>
        <v>40270.506666666661</v>
      </c>
      <c r="U35" s="38">
        <f t="shared" si="7"/>
        <v>50338.133333333339</v>
      </c>
      <c r="V35" s="38">
        <f>K35*R35</f>
        <v>0</v>
      </c>
      <c r="W35" s="38">
        <f t="shared" si="9"/>
        <v>90608.639999999999</v>
      </c>
      <c r="X35" s="38">
        <f t="shared" ref="X35:X62" si="44">T35*10%</f>
        <v>4027.0506666666661</v>
      </c>
      <c r="Y35" s="38">
        <f t="shared" ref="Y35:Y62" si="45">U35*10%</f>
        <v>5033.8133333333344</v>
      </c>
      <c r="Z35" s="37"/>
      <c r="AA35" s="37"/>
      <c r="AB35" s="38"/>
      <c r="AC35" s="37"/>
      <c r="AD35" s="37"/>
      <c r="AE35" s="38"/>
      <c r="AF35" s="24"/>
      <c r="AG35" s="24"/>
      <c r="AH35" s="38"/>
      <c r="AI35" s="39"/>
      <c r="AJ35" s="37"/>
      <c r="AK35" s="38"/>
      <c r="AL35" s="39"/>
      <c r="AM35" s="37"/>
      <c r="AN35" s="38"/>
      <c r="AO35" s="38"/>
      <c r="AP35" s="37"/>
      <c r="AQ35" s="38"/>
      <c r="AR35" s="38">
        <f t="shared" si="11"/>
        <v>3146.1333333333332</v>
      </c>
      <c r="AS35" s="38">
        <f t="shared" si="12"/>
        <v>3932.666666666667</v>
      </c>
      <c r="AT35" s="39"/>
      <c r="AU35" s="37"/>
      <c r="AV35" s="38"/>
      <c r="AW35" s="37"/>
      <c r="AX35" s="38"/>
      <c r="AY35" s="38">
        <f t="shared" si="13"/>
        <v>43322.255999999994</v>
      </c>
      <c r="AZ35" s="38">
        <f t="shared" si="14"/>
        <v>133930.89600000001</v>
      </c>
      <c r="BA35" s="38">
        <v>27182.591999999997</v>
      </c>
    </row>
    <row r="36" spans="1:53" s="105" customFormat="1" ht="25.5" x14ac:dyDescent="0.2">
      <c r="A36" s="37">
        <v>16</v>
      </c>
      <c r="B36" s="288" t="s">
        <v>254</v>
      </c>
      <c r="C36" s="37" t="s">
        <v>51</v>
      </c>
      <c r="D36" s="177" t="s">
        <v>197</v>
      </c>
      <c r="E36" s="37">
        <v>1</v>
      </c>
      <c r="F36" s="37" t="s">
        <v>107</v>
      </c>
      <c r="G36" s="37">
        <v>4.79</v>
      </c>
      <c r="H36" s="24">
        <v>17697</v>
      </c>
      <c r="I36" s="38">
        <f t="shared" si="15"/>
        <v>84768.63</v>
      </c>
      <c r="J36" s="38"/>
      <c r="K36" s="38">
        <f t="shared" si="3"/>
        <v>84768.63</v>
      </c>
      <c r="L36" s="37"/>
      <c r="M36" s="37">
        <v>25</v>
      </c>
      <c r="N36" s="37"/>
      <c r="O36" s="24">
        <f t="shared" si="40"/>
        <v>25</v>
      </c>
      <c r="P36" s="39">
        <f t="shared" si="36"/>
        <v>0</v>
      </c>
      <c r="Q36" s="39">
        <f t="shared" si="43"/>
        <v>1.3888888888888888</v>
      </c>
      <c r="R36" s="39">
        <f>N36/18</f>
        <v>0</v>
      </c>
      <c r="S36" s="39">
        <f t="shared" si="2"/>
        <v>1.3888888888888888</v>
      </c>
      <c r="T36" s="38">
        <f t="shared" si="6"/>
        <v>0</v>
      </c>
      <c r="U36" s="38">
        <f t="shared" si="7"/>
        <v>117734.20833333333</v>
      </c>
      <c r="V36" s="38">
        <f>K36*R36</f>
        <v>0</v>
      </c>
      <c r="W36" s="38">
        <f t="shared" si="9"/>
        <v>117734.20833333333</v>
      </c>
      <c r="X36" s="38">
        <f t="shared" si="44"/>
        <v>0</v>
      </c>
      <c r="Y36" s="38">
        <f t="shared" si="45"/>
        <v>11773.420833333334</v>
      </c>
      <c r="Z36" s="37"/>
      <c r="AA36" s="37"/>
      <c r="AB36" s="38"/>
      <c r="AC36" s="37"/>
      <c r="AD36" s="37"/>
      <c r="AE36" s="38"/>
      <c r="AF36" s="24"/>
      <c r="AG36" s="24"/>
      <c r="AH36" s="38"/>
      <c r="AI36" s="39"/>
      <c r="AJ36" s="37"/>
      <c r="AK36" s="38"/>
      <c r="AL36" s="39"/>
      <c r="AM36" s="37"/>
      <c r="AN36" s="38"/>
      <c r="AO36" s="38"/>
      <c r="AP36" s="37"/>
      <c r="AQ36" s="38"/>
      <c r="AR36" s="38">
        <f t="shared" si="11"/>
        <v>0</v>
      </c>
      <c r="AS36" s="38">
        <f t="shared" si="12"/>
        <v>9831.6666666666661</v>
      </c>
      <c r="AT36" s="38"/>
      <c r="AU36" s="37"/>
      <c r="AV36" s="38"/>
      <c r="AW36" s="37"/>
      <c r="AX36" s="38"/>
      <c r="AY36" s="38">
        <f t="shared" si="13"/>
        <v>56925.35</v>
      </c>
      <c r="AZ36" s="38">
        <f t="shared" si="14"/>
        <v>174659.55833333332</v>
      </c>
      <c r="BA36" s="38">
        <v>35320.262499999997</v>
      </c>
    </row>
    <row r="37" spans="1:53" s="17" customFormat="1" ht="13.5" x14ac:dyDescent="0.2">
      <c r="A37" s="24">
        <v>17</v>
      </c>
      <c r="B37" s="288" t="s">
        <v>261</v>
      </c>
      <c r="C37" s="37" t="s">
        <v>54</v>
      </c>
      <c r="D37" s="166" t="s">
        <v>199</v>
      </c>
      <c r="E37" s="37" t="s">
        <v>81</v>
      </c>
      <c r="F37" s="37" t="s">
        <v>97</v>
      </c>
      <c r="G37" s="24">
        <v>3.53</v>
      </c>
      <c r="H37" s="24">
        <v>17697</v>
      </c>
      <c r="I37" s="38">
        <f t="shared" si="15"/>
        <v>62470.409999999996</v>
      </c>
      <c r="J37" s="38"/>
      <c r="K37" s="38">
        <f>I37+J37</f>
        <v>62470.409999999996</v>
      </c>
      <c r="L37" s="37">
        <v>1</v>
      </c>
      <c r="M37" s="37">
        <v>6</v>
      </c>
      <c r="N37" s="37"/>
      <c r="O37" s="24">
        <f>L37+M37+N37</f>
        <v>7</v>
      </c>
      <c r="P37" s="39">
        <f>L37/18</f>
        <v>5.5555555555555552E-2</v>
      </c>
      <c r="Q37" s="39">
        <f>M37/18</f>
        <v>0.33333333333333331</v>
      </c>
      <c r="R37" s="39">
        <f>N37/18</f>
        <v>0</v>
      </c>
      <c r="S37" s="39">
        <f t="shared" si="2"/>
        <v>0.38888888888888884</v>
      </c>
      <c r="T37" s="38">
        <f>K37*P37</f>
        <v>3470.5783333333329</v>
      </c>
      <c r="U37" s="38">
        <f t="shared" si="7"/>
        <v>20823.469999999998</v>
      </c>
      <c r="V37" s="38">
        <f>K37*R37</f>
        <v>0</v>
      </c>
      <c r="W37" s="38">
        <f>T37+U37+V37</f>
        <v>24294.048333333332</v>
      </c>
      <c r="X37" s="38">
        <f t="shared" si="44"/>
        <v>347.05783333333329</v>
      </c>
      <c r="Y37" s="38">
        <f t="shared" si="45"/>
        <v>2082.3469999999998</v>
      </c>
      <c r="Z37" s="37"/>
      <c r="AA37" s="37"/>
      <c r="AB37" s="38"/>
      <c r="AC37" s="37"/>
      <c r="AD37" s="37"/>
      <c r="AE37" s="38"/>
      <c r="AF37" s="24"/>
      <c r="AG37" s="24"/>
      <c r="AH37" s="38"/>
      <c r="AI37" s="39"/>
      <c r="AJ37" s="37"/>
      <c r="AK37" s="38"/>
      <c r="AL37" s="39"/>
      <c r="AM37" s="37"/>
      <c r="AN37" s="38"/>
      <c r="AO37" s="38"/>
      <c r="AP37" s="37"/>
      <c r="AQ37" s="38"/>
      <c r="AR37" s="38">
        <f t="shared" si="11"/>
        <v>393.26666666666665</v>
      </c>
      <c r="AS37" s="38">
        <f t="shared" si="12"/>
        <v>2359.6</v>
      </c>
      <c r="AT37" s="38"/>
      <c r="AU37" s="37"/>
      <c r="AV37" s="38"/>
      <c r="AW37" s="37"/>
      <c r="AX37" s="38"/>
      <c r="AY37" s="38">
        <f t="shared" si="13"/>
        <v>12470.485999999999</v>
      </c>
      <c r="AZ37" s="38">
        <f>AY37+W37</f>
        <v>36764.534333333329</v>
      </c>
      <c r="BA37" s="38">
        <v>7288.2144999999991</v>
      </c>
    </row>
    <row r="38" spans="1:53" s="105" customFormat="1" ht="27" x14ac:dyDescent="0.2">
      <c r="A38" s="37">
        <v>18</v>
      </c>
      <c r="B38" s="288" t="s">
        <v>262</v>
      </c>
      <c r="C38" s="37" t="s">
        <v>51</v>
      </c>
      <c r="D38" s="24" t="s">
        <v>96</v>
      </c>
      <c r="E38" s="37" t="s">
        <v>53</v>
      </c>
      <c r="F38" s="37" t="s">
        <v>106</v>
      </c>
      <c r="G38" s="37">
        <v>5.41</v>
      </c>
      <c r="H38" s="24">
        <v>17697</v>
      </c>
      <c r="I38" s="38">
        <f t="shared" si="15"/>
        <v>95740.77</v>
      </c>
      <c r="J38" s="38"/>
      <c r="K38" s="38">
        <f t="shared" si="3"/>
        <v>95740.77</v>
      </c>
      <c r="L38" s="37">
        <v>12</v>
      </c>
      <c r="M38" s="37">
        <v>10</v>
      </c>
      <c r="N38" s="37"/>
      <c r="O38" s="24">
        <f t="shared" si="40"/>
        <v>22</v>
      </c>
      <c r="P38" s="39">
        <f t="shared" ref="P38:P62" si="46">L38/18</f>
        <v>0.66666666666666663</v>
      </c>
      <c r="Q38" s="39">
        <f t="shared" ref="Q38:Q45" si="47">M38/18</f>
        <v>0.55555555555555558</v>
      </c>
      <c r="R38" s="39">
        <f t="shared" ref="R38:R45" si="48">N38/18</f>
        <v>0</v>
      </c>
      <c r="S38" s="39">
        <f t="shared" si="2"/>
        <v>1.2222222222222223</v>
      </c>
      <c r="T38" s="38">
        <f t="shared" si="6"/>
        <v>63827.18</v>
      </c>
      <c r="U38" s="38">
        <f t="shared" si="7"/>
        <v>53189.316666666673</v>
      </c>
      <c r="V38" s="38">
        <f t="shared" ref="V38:V43" si="49">K38*R38</f>
        <v>0</v>
      </c>
      <c r="W38" s="38">
        <f t="shared" si="9"/>
        <v>117016.49666666667</v>
      </c>
      <c r="X38" s="38">
        <f t="shared" si="44"/>
        <v>6382.7180000000008</v>
      </c>
      <c r="Y38" s="38">
        <f t="shared" si="45"/>
        <v>5318.9316666666673</v>
      </c>
      <c r="Z38" s="37"/>
      <c r="AA38" s="37"/>
      <c r="AB38" s="38"/>
      <c r="AC38" s="37"/>
      <c r="AD38" s="37"/>
      <c r="AE38" s="38"/>
      <c r="AF38" s="24"/>
      <c r="AG38" s="24"/>
      <c r="AH38" s="38"/>
      <c r="AI38" s="39"/>
      <c r="AJ38" s="37"/>
      <c r="AK38" s="38"/>
      <c r="AL38" s="39"/>
      <c r="AM38" s="37"/>
      <c r="AN38" s="38"/>
      <c r="AO38" s="38"/>
      <c r="AP38" s="37"/>
      <c r="AQ38" s="38"/>
      <c r="AR38" s="38">
        <f t="shared" si="11"/>
        <v>4719.2</v>
      </c>
      <c r="AS38" s="38">
        <f t="shared" si="12"/>
        <v>3932.666666666667</v>
      </c>
      <c r="AT38" s="38"/>
      <c r="AU38" s="37"/>
      <c r="AV38" s="38"/>
      <c r="AW38" s="37"/>
      <c r="AX38" s="38"/>
      <c r="AY38" s="38">
        <f t="shared" si="13"/>
        <v>55458.465333333341</v>
      </c>
      <c r="AZ38" s="38">
        <f t="shared" si="14"/>
        <v>172474.962</v>
      </c>
      <c r="BA38" s="38">
        <v>35104.949000000001</v>
      </c>
    </row>
    <row r="39" spans="1:53" s="105" customFormat="1" ht="25.5" x14ac:dyDescent="0.2">
      <c r="A39" s="37">
        <v>19</v>
      </c>
      <c r="B39" s="288" t="s">
        <v>260</v>
      </c>
      <c r="C39" s="24" t="s">
        <v>51</v>
      </c>
      <c r="D39" s="37" t="s">
        <v>201</v>
      </c>
      <c r="E39" s="37" t="s">
        <v>53</v>
      </c>
      <c r="F39" s="37" t="s">
        <v>106</v>
      </c>
      <c r="G39" s="37">
        <v>5.16</v>
      </c>
      <c r="H39" s="24">
        <v>17697</v>
      </c>
      <c r="I39" s="38">
        <f t="shared" si="15"/>
        <v>91316.52</v>
      </c>
      <c r="J39" s="38"/>
      <c r="K39" s="38">
        <f t="shared" ref="K39" si="50">I39+J39</f>
        <v>91316.52</v>
      </c>
      <c r="L39" s="37">
        <v>9</v>
      </c>
      <c r="M39" s="37">
        <v>12</v>
      </c>
      <c r="N39" s="37"/>
      <c r="O39" s="24">
        <f t="shared" ref="O39" si="51">L39+M39+N39</f>
        <v>21</v>
      </c>
      <c r="P39" s="39">
        <f t="shared" ref="P39" si="52">L39/18</f>
        <v>0.5</v>
      </c>
      <c r="Q39" s="39">
        <f t="shared" ref="Q39" si="53">M39/18</f>
        <v>0.66666666666666663</v>
      </c>
      <c r="R39" s="39">
        <f t="shared" ref="R39" si="54">N39/18</f>
        <v>0</v>
      </c>
      <c r="S39" s="39">
        <f t="shared" si="2"/>
        <v>1.1666666666666665</v>
      </c>
      <c r="T39" s="38">
        <f t="shared" ref="T39" si="55">K39*P39</f>
        <v>45658.26</v>
      </c>
      <c r="U39" s="38">
        <f t="shared" si="7"/>
        <v>60877.68</v>
      </c>
      <c r="V39" s="38">
        <f t="shared" ref="V39" si="56">K39*R39</f>
        <v>0</v>
      </c>
      <c r="W39" s="38">
        <f t="shared" ref="W39" si="57">T39+U39+V39</f>
        <v>106535.94</v>
      </c>
      <c r="X39" s="38">
        <f t="shared" si="44"/>
        <v>4565.826</v>
      </c>
      <c r="Y39" s="38">
        <f t="shared" si="45"/>
        <v>6087.768</v>
      </c>
      <c r="Z39" s="37"/>
      <c r="AA39" s="37"/>
      <c r="AB39" s="38"/>
      <c r="AC39" s="37"/>
      <c r="AD39" s="37"/>
      <c r="AE39" s="38"/>
      <c r="AF39" s="24"/>
      <c r="AG39" s="24"/>
      <c r="AH39" s="38"/>
      <c r="AI39" s="39"/>
      <c r="AJ39" s="37"/>
      <c r="AK39" s="38"/>
      <c r="AL39" s="39"/>
      <c r="AM39" s="37"/>
      <c r="AN39" s="38"/>
      <c r="AO39" s="38"/>
      <c r="AP39" s="37"/>
      <c r="AQ39" s="38"/>
      <c r="AR39" s="38">
        <f t="shared" si="11"/>
        <v>3539.4</v>
      </c>
      <c r="AS39" s="38">
        <f t="shared" si="12"/>
        <v>4719.2</v>
      </c>
      <c r="AT39" s="38"/>
      <c r="AU39" s="37"/>
      <c r="AV39" s="38"/>
      <c r="AW39" s="37"/>
      <c r="AX39" s="38"/>
      <c r="AY39" s="38">
        <f t="shared" si="13"/>
        <v>50872.976000000002</v>
      </c>
      <c r="AZ39" s="38">
        <f t="shared" ref="AZ39" si="58">AY39+W39</f>
        <v>157408.916</v>
      </c>
      <c r="BA39" s="38">
        <v>31960.781999999999</v>
      </c>
    </row>
    <row r="40" spans="1:53" s="105" customFormat="1" ht="25.5" x14ac:dyDescent="0.2">
      <c r="A40" s="37">
        <v>20</v>
      </c>
      <c r="B40" s="288" t="s">
        <v>268</v>
      </c>
      <c r="C40" s="37" t="s">
        <v>51</v>
      </c>
      <c r="D40" s="37" t="s">
        <v>198</v>
      </c>
      <c r="E40" s="37" t="s">
        <v>53</v>
      </c>
      <c r="F40" s="37" t="s">
        <v>106</v>
      </c>
      <c r="G40" s="37">
        <v>5.32</v>
      </c>
      <c r="H40" s="24">
        <v>17697</v>
      </c>
      <c r="I40" s="38">
        <f t="shared" si="15"/>
        <v>94148.040000000008</v>
      </c>
      <c r="J40" s="38"/>
      <c r="K40" s="38">
        <f t="shared" si="3"/>
        <v>94148.040000000008</v>
      </c>
      <c r="L40" s="37">
        <v>22</v>
      </c>
      <c r="M40" s="37"/>
      <c r="N40" s="37"/>
      <c r="O40" s="24">
        <f t="shared" si="40"/>
        <v>22</v>
      </c>
      <c r="P40" s="39">
        <f t="shared" si="46"/>
        <v>1.2222222222222223</v>
      </c>
      <c r="Q40" s="39">
        <f t="shared" si="47"/>
        <v>0</v>
      </c>
      <c r="R40" s="39">
        <f t="shared" si="48"/>
        <v>0</v>
      </c>
      <c r="S40" s="39">
        <f t="shared" si="2"/>
        <v>1.2222222222222223</v>
      </c>
      <c r="T40" s="38">
        <f t="shared" si="6"/>
        <v>115069.82666666669</v>
      </c>
      <c r="U40" s="38">
        <f t="shared" si="7"/>
        <v>0</v>
      </c>
      <c r="V40" s="38">
        <f t="shared" si="49"/>
        <v>0</v>
      </c>
      <c r="W40" s="38">
        <f t="shared" si="9"/>
        <v>115069.82666666669</v>
      </c>
      <c r="X40" s="38">
        <f t="shared" si="44"/>
        <v>11506.98266666667</v>
      </c>
      <c r="Y40" s="38">
        <f t="shared" si="45"/>
        <v>0</v>
      </c>
      <c r="Z40" s="37">
        <v>5</v>
      </c>
      <c r="AA40" s="37">
        <v>20</v>
      </c>
      <c r="AB40" s="38">
        <f>((17697/18)*Z40)*AA40/100</f>
        <v>983.16666666666652</v>
      </c>
      <c r="AC40" s="37"/>
      <c r="AD40" s="37"/>
      <c r="AE40" s="38"/>
      <c r="AF40" s="24"/>
      <c r="AG40" s="24"/>
      <c r="AH40" s="38"/>
      <c r="AI40" s="24">
        <v>1</v>
      </c>
      <c r="AJ40" s="261">
        <v>0.25</v>
      </c>
      <c r="AK40" s="38">
        <f>H40*AJ40</f>
        <v>4424.25</v>
      </c>
      <c r="AL40" s="39"/>
      <c r="AM40" s="37"/>
      <c r="AN40" s="38"/>
      <c r="AO40" s="38"/>
      <c r="AP40" s="37"/>
      <c r="AQ40" s="38"/>
      <c r="AR40" s="38">
        <f t="shared" si="11"/>
        <v>8651.8666666666668</v>
      </c>
      <c r="AS40" s="38">
        <f t="shared" si="12"/>
        <v>0</v>
      </c>
      <c r="AT40" s="38"/>
      <c r="AU40" s="37"/>
      <c r="AV40" s="38"/>
      <c r="AW40" s="37"/>
      <c r="AX40" s="38"/>
      <c r="AY40" s="38">
        <f t="shared" si="13"/>
        <v>60087.214000000007</v>
      </c>
      <c r="AZ40" s="38">
        <f t="shared" si="14"/>
        <v>175157.0406666667</v>
      </c>
      <c r="BA40" s="38">
        <v>34520.948000000004</v>
      </c>
    </row>
    <row r="41" spans="1:53" s="105" customFormat="1" ht="38.25" x14ac:dyDescent="0.2">
      <c r="A41" s="37">
        <v>21</v>
      </c>
      <c r="B41" s="288" t="s">
        <v>273</v>
      </c>
      <c r="C41" s="37" t="s">
        <v>51</v>
      </c>
      <c r="D41" s="24" t="s">
        <v>96</v>
      </c>
      <c r="E41" s="37" t="s">
        <v>53</v>
      </c>
      <c r="F41" s="37" t="s">
        <v>106</v>
      </c>
      <c r="G41" s="37">
        <v>5.41</v>
      </c>
      <c r="H41" s="24">
        <v>17697</v>
      </c>
      <c r="I41" s="38">
        <f t="shared" si="15"/>
        <v>95740.77</v>
      </c>
      <c r="J41" s="38"/>
      <c r="K41" s="38">
        <f>I41+J41</f>
        <v>95740.77</v>
      </c>
      <c r="L41" s="37">
        <v>14</v>
      </c>
      <c r="M41" s="37">
        <v>10</v>
      </c>
      <c r="N41" s="37"/>
      <c r="O41" s="24">
        <f>L41+M41+N41</f>
        <v>24</v>
      </c>
      <c r="P41" s="39">
        <f>L41/18</f>
        <v>0.77777777777777779</v>
      </c>
      <c r="Q41" s="39">
        <f>M41/18</f>
        <v>0.55555555555555558</v>
      </c>
      <c r="R41" s="39">
        <f>N41/18</f>
        <v>0</v>
      </c>
      <c r="S41" s="39">
        <f t="shared" si="2"/>
        <v>1.3333333333333335</v>
      </c>
      <c r="T41" s="38">
        <f>K41*P41</f>
        <v>74465.043333333335</v>
      </c>
      <c r="U41" s="38">
        <f t="shared" si="7"/>
        <v>53189.316666666673</v>
      </c>
      <c r="V41" s="38">
        <f>K41*R41</f>
        <v>0</v>
      </c>
      <c r="W41" s="38">
        <f>T41+U41+V41</f>
        <v>127654.36000000002</v>
      </c>
      <c r="X41" s="38">
        <f t="shared" si="44"/>
        <v>7446.5043333333342</v>
      </c>
      <c r="Y41" s="38">
        <f t="shared" si="45"/>
        <v>5318.9316666666673</v>
      </c>
      <c r="Z41" s="37">
        <v>8</v>
      </c>
      <c r="AA41" s="37">
        <v>20</v>
      </c>
      <c r="AB41" s="38">
        <f>((17697/18)*Z41)*AA41/100</f>
        <v>1573.0666666666666</v>
      </c>
      <c r="AC41" s="37"/>
      <c r="AD41" s="37"/>
      <c r="AE41" s="38"/>
      <c r="AF41" s="24"/>
      <c r="AG41" s="24"/>
      <c r="AH41" s="38"/>
      <c r="AI41" s="24">
        <v>1</v>
      </c>
      <c r="AJ41" s="261">
        <v>0.25</v>
      </c>
      <c r="AK41" s="38">
        <f>H41*AJ41</f>
        <v>4424.25</v>
      </c>
      <c r="AL41" s="39"/>
      <c r="AM41" s="37"/>
      <c r="AN41" s="38"/>
      <c r="AO41" s="38"/>
      <c r="AP41" s="37"/>
      <c r="AQ41" s="38"/>
      <c r="AR41" s="38">
        <f t="shared" si="11"/>
        <v>5505.7333333333336</v>
      </c>
      <c r="AS41" s="38">
        <f t="shared" si="12"/>
        <v>3932.666666666667</v>
      </c>
      <c r="AT41" s="38"/>
      <c r="AU41" s="37"/>
      <c r="AV41" s="38"/>
      <c r="AW41" s="37"/>
      <c r="AX41" s="38"/>
      <c r="AY41" s="38">
        <f t="shared" si="13"/>
        <v>66497.46066666668</v>
      </c>
      <c r="AZ41" s="38">
        <f>AY41+W41</f>
        <v>194151.8206666667</v>
      </c>
      <c r="BA41" s="38">
        <v>38296.308000000005</v>
      </c>
    </row>
    <row r="42" spans="1:53" s="105" customFormat="1" ht="38.25" x14ac:dyDescent="0.2">
      <c r="A42" s="37">
        <v>22</v>
      </c>
      <c r="B42" s="288" t="s">
        <v>247</v>
      </c>
      <c r="C42" s="37" t="s">
        <v>51</v>
      </c>
      <c r="D42" s="37" t="s">
        <v>200</v>
      </c>
      <c r="E42" s="37" t="s">
        <v>53</v>
      </c>
      <c r="F42" s="37" t="s">
        <v>106</v>
      </c>
      <c r="G42" s="37">
        <v>5.08</v>
      </c>
      <c r="H42" s="24">
        <v>17697</v>
      </c>
      <c r="I42" s="38">
        <f t="shared" si="15"/>
        <v>89900.76</v>
      </c>
      <c r="J42" s="38"/>
      <c r="K42" s="38">
        <f>I42+J42</f>
        <v>89900.76</v>
      </c>
      <c r="L42" s="37">
        <v>10</v>
      </c>
      <c r="M42" s="37">
        <v>14</v>
      </c>
      <c r="N42" s="37"/>
      <c r="O42" s="24">
        <f t="shared" si="40"/>
        <v>24</v>
      </c>
      <c r="P42" s="39">
        <f t="shared" si="46"/>
        <v>0.55555555555555558</v>
      </c>
      <c r="Q42" s="39">
        <f t="shared" si="47"/>
        <v>0.77777777777777779</v>
      </c>
      <c r="R42" s="39">
        <f t="shared" si="48"/>
        <v>0</v>
      </c>
      <c r="S42" s="39">
        <f t="shared" si="2"/>
        <v>1.3333333333333335</v>
      </c>
      <c r="T42" s="38">
        <f>K42*P42</f>
        <v>49944.866666666669</v>
      </c>
      <c r="U42" s="38">
        <f t="shared" si="7"/>
        <v>69922.813333333324</v>
      </c>
      <c r="V42" s="38">
        <f t="shared" si="49"/>
        <v>0</v>
      </c>
      <c r="W42" s="38">
        <f t="shared" si="9"/>
        <v>119867.68</v>
      </c>
      <c r="X42" s="38">
        <f t="shared" si="44"/>
        <v>4994.4866666666676</v>
      </c>
      <c r="Y42" s="38">
        <f t="shared" si="45"/>
        <v>6992.2813333333324</v>
      </c>
      <c r="Z42" s="37"/>
      <c r="AA42" s="37"/>
      <c r="AB42" s="38"/>
      <c r="AC42" s="37"/>
      <c r="AD42" s="37"/>
      <c r="AE42" s="38"/>
      <c r="AF42" s="24"/>
      <c r="AG42" s="24"/>
      <c r="AH42" s="38"/>
      <c r="AI42" s="39"/>
      <c r="AJ42" s="37"/>
      <c r="AK42" s="38"/>
      <c r="AL42" s="39"/>
      <c r="AM42" s="37"/>
      <c r="AN42" s="38"/>
      <c r="AO42" s="38"/>
      <c r="AP42" s="37"/>
      <c r="AQ42" s="38"/>
      <c r="AR42" s="38">
        <f t="shared" si="11"/>
        <v>3932.666666666667</v>
      </c>
      <c r="AS42" s="38">
        <f t="shared" si="12"/>
        <v>5505.7333333333336</v>
      </c>
      <c r="AT42" s="38"/>
      <c r="AU42" s="37"/>
      <c r="AV42" s="38"/>
      <c r="AW42" s="37"/>
      <c r="AX42" s="38"/>
      <c r="AY42" s="38">
        <f t="shared" si="13"/>
        <v>57385.471999999994</v>
      </c>
      <c r="AZ42" s="38">
        <f>AY42+W42</f>
        <v>177253.152</v>
      </c>
      <c r="BA42" s="38">
        <v>35960.303999999996</v>
      </c>
    </row>
    <row r="43" spans="1:53" s="105" customFormat="1" ht="27" x14ac:dyDescent="0.2">
      <c r="A43" s="37">
        <v>23</v>
      </c>
      <c r="B43" s="263" t="s">
        <v>259</v>
      </c>
      <c r="C43" s="37" t="s">
        <v>51</v>
      </c>
      <c r="D43" s="40" t="s">
        <v>96</v>
      </c>
      <c r="E43" s="37" t="s">
        <v>53</v>
      </c>
      <c r="F43" s="37" t="s">
        <v>106</v>
      </c>
      <c r="G43" s="37">
        <v>5.41</v>
      </c>
      <c r="H43" s="24">
        <v>17697</v>
      </c>
      <c r="I43" s="38">
        <f t="shared" si="15"/>
        <v>95740.77</v>
      </c>
      <c r="J43" s="38"/>
      <c r="K43" s="38">
        <f t="shared" si="3"/>
        <v>95740.77</v>
      </c>
      <c r="L43" s="37"/>
      <c r="M43" s="37">
        <v>25</v>
      </c>
      <c r="N43" s="37"/>
      <c r="O43" s="24">
        <f t="shared" si="40"/>
        <v>25</v>
      </c>
      <c r="P43" s="39">
        <f t="shared" si="46"/>
        <v>0</v>
      </c>
      <c r="Q43" s="39">
        <f t="shared" si="47"/>
        <v>1.3888888888888888</v>
      </c>
      <c r="R43" s="39">
        <f t="shared" si="48"/>
        <v>0</v>
      </c>
      <c r="S43" s="39">
        <f t="shared" si="2"/>
        <v>1.3888888888888888</v>
      </c>
      <c r="T43" s="38">
        <f t="shared" si="6"/>
        <v>0</v>
      </c>
      <c r="U43" s="38">
        <f t="shared" si="7"/>
        <v>132973.29166666666</v>
      </c>
      <c r="V43" s="38">
        <f t="shared" si="49"/>
        <v>0</v>
      </c>
      <c r="W43" s="38">
        <f t="shared" si="9"/>
        <v>132973.29166666666</v>
      </c>
      <c r="X43" s="38">
        <f t="shared" si="44"/>
        <v>0</v>
      </c>
      <c r="Y43" s="38">
        <f t="shared" si="45"/>
        <v>13297.329166666666</v>
      </c>
      <c r="Z43" s="37"/>
      <c r="AA43" s="37"/>
      <c r="AB43" s="38"/>
      <c r="AC43" s="37"/>
      <c r="AD43" s="37"/>
      <c r="AE43" s="38"/>
      <c r="AF43" s="24"/>
      <c r="AG43" s="24"/>
      <c r="AH43" s="38"/>
      <c r="AI43" s="39"/>
      <c r="AJ43" s="37"/>
      <c r="AK43" s="38"/>
      <c r="AL43" s="39"/>
      <c r="AM43" s="37"/>
      <c r="AN43" s="38"/>
      <c r="AO43" s="38"/>
      <c r="AP43" s="37"/>
      <c r="AQ43" s="38"/>
      <c r="AR43" s="38">
        <f t="shared" si="11"/>
        <v>0</v>
      </c>
      <c r="AS43" s="38">
        <f t="shared" si="12"/>
        <v>9831.6666666666661</v>
      </c>
      <c r="AT43" s="38"/>
      <c r="AU43" s="37"/>
      <c r="AV43" s="38"/>
      <c r="AW43" s="37"/>
      <c r="AX43" s="38"/>
      <c r="AY43" s="38">
        <f t="shared" si="13"/>
        <v>63020.98333333333</v>
      </c>
      <c r="AZ43" s="38">
        <f t="shared" si="14"/>
        <v>195994.27499999999</v>
      </c>
      <c r="BA43" s="38">
        <v>39891.987499999996</v>
      </c>
    </row>
    <row r="44" spans="1:53" s="105" customFormat="1" ht="51" x14ac:dyDescent="0.2">
      <c r="A44" s="37">
        <v>24</v>
      </c>
      <c r="B44" s="288" t="s">
        <v>270</v>
      </c>
      <c r="C44" s="37" t="s">
        <v>51</v>
      </c>
      <c r="D44" s="24" t="s">
        <v>157</v>
      </c>
      <c r="E44" s="37" t="s">
        <v>81</v>
      </c>
      <c r="F44" s="37" t="s">
        <v>105</v>
      </c>
      <c r="G44" s="171">
        <v>4.2300000000000004</v>
      </c>
      <c r="H44" s="24">
        <v>17697</v>
      </c>
      <c r="I44" s="38">
        <f t="shared" si="15"/>
        <v>74858.310000000012</v>
      </c>
      <c r="J44" s="38"/>
      <c r="K44" s="38">
        <f t="shared" si="3"/>
        <v>74858.310000000012</v>
      </c>
      <c r="L44" s="167">
        <v>20</v>
      </c>
      <c r="M44" s="37">
        <v>1</v>
      </c>
      <c r="N44" s="37"/>
      <c r="O44" s="24">
        <f>L44+M44+N44</f>
        <v>21</v>
      </c>
      <c r="P44" s="39">
        <f>L44/18</f>
        <v>1.1111111111111112</v>
      </c>
      <c r="Q44" s="39">
        <f>M44/18</f>
        <v>5.5555555555555552E-2</v>
      </c>
      <c r="R44" s="39">
        <f>N44/18</f>
        <v>0</v>
      </c>
      <c r="S44" s="39">
        <f t="shared" si="2"/>
        <v>1.1666666666666667</v>
      </c>
      <c r="T44" s="38">
        <f t="shared" si="6"/>
        <v>83175.900000000023</v>
      </c>
      <c r="U44" s="38">
        <f t="shared" si="7"/>
        <v>4158.7950000000001</v>
      </c>
      <c r="V44" s="38">
        <f>K44*R44</f>
        <v>0</v>
      </c>
      <c r="W44" s="38">
        <f t="shared" si="9"/>
        <v>87334.695000000022</v>
      </c>
      <c r="X44" s="38">
        <f t="shared" si="44"/>
        <v>8317.590000000002</v>
      </c>
      <c r="Y44" s="38">
        <f t="shared" si="45"/>
        <v>415.87950000000001</v>
      </c>
      <c r="Z44" s="37">
        <v>8</v>
      </c>
      <c r="AA44" s="37">
        <v>20</v>
      </c>
      <c r="AB44" s="38">
        <f>((17697/18)*Z44)*AA44/100</f>
        <v>1573.0666666666666</v>
      </c>
      <c r="AC44" s="37"/>
      <c r="AD44" s="37"/>
      <c r="AE44" s="38"/>
      <c r="AF44" s="24"/>
      <c r="AG44" s="24"/>
      <c r="AH44" s="38"/>
      <c r="AI44" s="24">
        <v>1</v>
      </c>
      <c r="AJ44" s="261">
        <v>0.25</v>
      </c>
      <c r="AK44" s="38">
        <f>H44*AJ44</f>
        <v>4424.25</v>
      </c>
      <c r="AL44" s="39"/>
      <c r="AM44" s="37"/>
      <c r="AN44" s="38"/>
      <c r="AO44" s="38"/>
      <c r="AP44" s="37"/>
      <c r="AQ44" s="38"/>
      <c r="AR44" s="38">
        <f t="shared" si="11"/>
        <v>7865.3333333333339</v>
      </c>
      <c r="AS44" s="38">
        <f t="shared" si="12"/>
        <v>393.26666666666665</v>
      </c>
      <c r="AT44" s="38"/>
      <c r="AU44" s="37"/>
      <c r="AV44" s="38"/>
      <c r="AW44" s="37"/>
      <c r="AX44" s="38"/>
      <c r="AY44" s="38">
        <f t="shared" si="13"/>
        <v>49189.794666666683</v>
      </c>
      <c r="AZ44" s="38">
        <f t="shared" si="14"/>
        <v>136524.48966666672</v>
      </c>
      <c r="BA44" s="38">
        <v>26200.408500000009</v>
      </c>
    </row>
    <row r="45" spans="1:53" s="105" customFormat="1" ht="38.25" x14ac:dyDescent="0.2">
      <c r="A45" s="37">
        <v>25</v>
      </c>
      <c r="B45" s="288" t="s">
        <v>247</v>
      </c>
      <c r="C45" s="37" t="s">
        <v>51</v>
      </c>
      <c r="D45" s="167" t="s">
        <v>203</v>
      </c>
      <c r="E45" s="37" t="s">
        <v>53</v>
      </c>
      <c r="F45" s="37" t="s">
        <v>106</v>
      </c>
      <c r="G45" s="37">
        <v>5.32</v>
      </c>
      <c r="H45" s="24">
        <v>17697</v>
      </c>
      <c r="I45" s="38">
        <f t="shared" si="15"/>
        <v>94148.040000000008</v>
      </c>
      <c r="J45" s="38"/>
      <c r="K45" s="38">
        <f t="shared" si="3"/>
        <v>94148.040000000008</v>
      </c>
      <c r="L45" s="37"/>
      <c r="M45" s="37">
        <v>20</v>
      </c>
      <c r="N45" s="37"/>
      <c r="O45" s="24">
        <f t="shared" si="40"/>
        <v>20</v>
      </c>
      <c r="P45" s="39">
        <f t="shared" si="46"/>
        <v>0</v>
      </c>
      <c r="Q45" s="39">
        <f t="shared" si="47"/>
        <v>1.1111111111111112</v>
      </c>
      <c r="R45" s="39">
        <f t="shared" si="48"/>
        <v>0</v>
      </c>
      <c r="S45" s="39">
        <f t="shared" si="2"/>
        <v>1.1111111111111112</v>
      </c>
      <c r="T45" s="38">
        <f t="shared" si="6"/>
        <v>0</v>
      </c>
      <c r="U45" s="38">
        <f t="shared" si="7"/>
        <v>104608.93333333335</v>
      </c>
      <c r="V45" s="38">
        <f>K45*R45</f>
        <v>0</v>
      </c>
      <c r="W45" s="38">
        <f t="shared" si="9"/>
        <v>104608.93333333335</v>
      </c>
      <c r="X45" s="38">
        <f t="shared" si="44"/>
        <v>0</v>
      </c>
      <c r="Y45" s="38">
        <f t="shared" si="45"/>
        <v>10460.893333333335</v>
      </c>
      <c r="Z45" s="37"/>
      <c r="AA45" s="37"/>
      <c r="AB45" s="38"/>
      <c r="AC45" s="37"/>
      <c r="AD45" s="37"/>
      <c r="AE45" s="38"/>
      <c r="AF45" s="24"/>
      <c r="AG45" s="24"/>
      <c r="AH45" s="38"/>
      <c r="AI45" s="39"/>
      <c r="AJ45" s="37"/>
      <c r="AK45" s="38"/>
      <c r="AL45" s="39"/>
      <c r="AM45" s="37"/>
      <c r="AN45" s="38"/>
      <c r="AO45" s="38"/>
      <c r="AP45" s="37"/>
      <c r="AQ45" s="38"/>
      <c r="AR45" s="38">
        <f t="shared" si="11"/>
        <v>0</v>
      </c>
      <c r="AS45" s="38">
        <f t="shared" si="12"/>
        <v>7865.3333333333339</v>
      </c>
      <c r="AT45" s="38"/>
      <c r="AU45" s="37"/>
      <c r="AV45" s="38"/>
      <c r="AW45" s="37"/>
      <c r="AX45" s="38"/>
      <c r="AY45" s="38">
        <f t="shared" si="13"/>
        <v>49708.906666666677</v>
      </c>
      <c r="AZ45" s="38">
        <f t="shared" si="14"/>
        <v>154317.84000000003</v>
      </c>
      <c r="BA45" s="38">
        <v>31382.680000000004</v>
      </c>
    </row>
    <row r="46" spans="1:53" s="105" customFormat="1" ht="51" x14ac:dyDescent="0.2">
      <c r="A46" s="37">
        <v>26</v>
      </c>
      <c r="B46" s="288" t="s">
        <v>278</v>
      </c>
      <c r="C46" s="37" t="s">
        <v>51</v>
      </c>
      <c r="D46" s="40" t="s">
        <v>96</v>
      </c>
      <c r="E46" s="37" t="s">
        <v>53</v>
      </c>
      <c r="F46" s="37" t="s">
        <v>106</v>
      </c>
      <c r="G46" s="37">
        <v>5.41</v>
      </c>
      <c r="H46" s="24">
        <v>17697</v>
      </c>
      <c r="I46" s="38">
        <f t="shared" si="15"/>
        <v>95740.77</v>
      </c>
      <c r="J46" s="38"/>
      <c r="K46" s="38">
        <f t="shared" si="3"/>
        <v>95740.77</v>
      </c>
      <c r="L46" s="37">
        <v>20</v>
      </c>
      <c r="M46" s="37">
        <v>5</v>
      </c>
      <c r="N46" s="37"/>
      <c r="O46" s="24">
        <f t="shared" ref="O46:O62" si="59">L46+M46+N46</f>
        <v>25</v>
      </c>
      <c r="P46" s="39">
        <f t="shared" si="46"/>
        <v>1.1111111111111112</v>
      </c>
      <c r="Q46" s="39">
        <f t="shared" ref="Q46:Q62" si="60">M46/18</f>
        <v>0.27777777777777779</v>
      </c>
      <c r="R46" s="39"/>
      <c r="S46" s="39">
        <f t="shared" si="2"/>
        <v>1.3888888888888888</v>
      </c>
      <c r="T46" s="38">
        <f t="shared" si="6"/>
        <v>106378.63333333335</v>
      </c>
      <c r="U46" s="38">
        <f t="shared" si="7"/>
        <v>26594.658333333336</v>
      </c>
      <c r="V46" s="38">
        <f t="shared" ref="V46:V62" si="61">K46*R46</f>
        <v>0</v>
      </c>
      <c r="W46" s="38">
        <f t="shared" si="9"/>
        <v>132973.29166666669</v>
      </c>
      <c r="X46" s="38">
        <f t="shared" si="44"/>
        <v>10637.863333333335</v>
      </c>
      <c r="Y46" s="38">
        <f t="shared" si="45"/>
        <v>2659.4658333333336</v>
      </c>
      <c r="Z46" s="37">
        <v>8</v>
      </c>
      <c r="AA46" s="37">
        <v>20</v>
      </c>
      <c r="AB46" s="38">
        <f>((17697/18)*Z46)*AA46/100</f>
        <v>1573.0666666666666</v>
      </c>
      <c r="AC46" s="37"/>
      <c r="AD46" s="37"/>
      <c r="AE46" s="38"/>
      <c r="AF46" s="24"/>
      <c r="AG46" s="24"/>
      <c r="AH46" s="38"/>
      <c r="AI46" s="24">
        <v>1</v>
      </c>
      <c r="AJ46" s="261">
        <v>0.25</v>
      </c>
      <c r="AK46" s="38">
        <f>H46*AJ46</f>
        <v>4424.25</v>
      </c>
      <c r="AL46" s="39"/>
      <c r="AM46" s="37"/>
      <c r="AN46" s="38"/>
      <c r="AO46" s="38"/>
      <c r="AP46" s="37"/>
      <c r="AQ46" s="38"/>
      <c r="AR46" s="38">
        <f t="shared" si="11"/>
        <v>7865.3333333333339</v>
      </c>
      <c r="AS46" s="38">
        <f t="shared" si="12"/>
        <v>1966.3333333333335</v>
      </c>
      <c r="AT46" s="38"/>
      <c r="AU46" s="37"/>
      <c r="AV46" s="38"/>
      <c r="AW46" s="37"/>
      <c r="AX46" s="38"/>
      <c r="AY46" s="38">
        <f t="shared" si="13"/>
        <v>69018.3</v>
      </c>
      <c r="AZ46" s="38">
        <f t="shared" si="14"/>
        <v>201991.59166666667</v>
      </c>
      <c r="BA46" s="38">
        <v>39891.987500000003</v>
      </c>
    </row>
    <row r="47" spans="1:53" s="105" customFormat="1" ht="13.5" x14ac:dyDescent="0.2">
      <c r="A47" s="37">
        <v>27</v>
      </c>
      <c r="B47" s="288" t="s">
        <v>258</v>
      </c>
      <c r="C47" s="37" t="s">
        <v>51</v>
      </c>
      <c r="D47" s="167" t="s">
        <v>205</v>
      </c>
      <c r="E47" s="37">
        <v>1</v>
      </c>
      <c r="F47" s="37" t="s">
        <v>107</v>
      </c>
      <c r="G47" s="37">
        <v>5.12</v>
      </c>
      <c r="H47" s="24">
        <v>17697</v>
      </c>
      <c r="I47" s="38">
        <f t="shared" si="15"/>
        <v>90608.639999999999</v>
      </c>
      <c r="J47" s="38"/>
      <c r="K47" s="38">
        <f t="shared" si="3"/>
        <v>90608.639999999999</v>
      </c>
      <c r="L47" s="37">
        <v>24</v>
      </c>
      <c r="M47" s="37"/>
      <c r="N47" s="37"/>
      <c r="O47" s="24">
        <f t="shared" si="59"/>
        <v>24</v>
      </c>
      <c r="P47" s="39">
        <f t="shared" si="46"/>
        <v>1.3333333333333333</v>
      </c>
      <c r="Q47" s="39">
        <f t="shared" si="60"/>
        <v>0</v>
      </c>
      <c r="R47" s="39">
        <f t="shared" ref="R47:R62" si="62">N47/18</f>
        <v>0</v>
      </c>
      <c r="S47" s="39">
        <f t="shared" si="2"/>
        <v>1.3333333333333333</v>
      </c>
      <c r="T47" s="38">
        <f t="shared" si="6"/>
        <v>120811.51999999999</v>
      </c>
      <c r="U47" s="38">
        <f t="shared" si="7"/>
        <v>0</v>
      </c>
      <c r="V47" s="38">
        <f t="shared" si="61"/>
        <v>0</v>
      </c>
      <c r="W47" s="38">
        <f t="shared" si="9"/>
        <v>120811.51999999999</v>
      </c>
      <c r="X47" s="38">
        <f t="shared" si="44"/>
        <v>12081.152</v>
      </c>
      <c r="Y47" s="38">
        <f t="shared" si="45"/>
        <v>0</v>
      </c>
      <c r="Z47" s="37"/>
      <c r="AA47" s="37"/>
      <c r="AB47" s="38"/>
      <c r="AC47" s="37"/>
      <c r="AD47" s="37"/>
      <c r="AE47" s="38"/>
      <c r="AF47" s="24"/>
      <c r="AG47" s="24"/>
      <c r="AH47" s="38"/>
      <c r="AI47" s="39"/>
      <c r="AJ47" s="37"/>
      <c r="AK47" s="38"/>
      <c r="AL47" s="39"/>
      <c r="AM47" s="37"/>
      <c r="AN47" s="38"/>
      <c r="AO47" s="38"/>
      <c r="AP47" s="37"/>
      <c r="AQ47" s="38"/>
      <c r="AR47" s="38">
        <f t="shared" si="11"/>
        <v>9438.4</v>
      </c>
      <c r="AS47" s="38">
        <f t="shared" si="12"/>
        <v>0</v>
      </c>
      <c r="AT47" s="38"/>
      <c r="AU47" s="37"/>
      <c r="AV47" s="38"/>
      <c r="AW47" s="37"/>
      <c r="AX47" s="38"/>
      <c r="AY47" s="38">
        <f t="shared" si="13"/>
        <v>57763.008000000002</v>
      </c>
      <c r="AZ47" s="38">
        <f t="shared" si="14"/>
        <v>178574.52799999999</v>
      </c>
      <c r="BA47" s="38">
        <v>36243.455999999998</v>
      </c>
    </row>
    <row r="48" spans="1:53" s="105" customFormat="1" ht="25.5" x14ac:dyDescent="0.2">
      <c r="A48" s="37">
        <v>28</v>
      </c>
      <c r="B48" s="288" t="s">
        <v>260</v>
      </c>
      <c r="C48" s="37" t="s">
        <v>51</v>
      </c>
      <c r="D48" s="167" t="s">
        <v>204</v>
      </c>
      <c r="E48" s="37" t="s">
        <v>53</v>
      </c>
      <c r="F48" s="37" t="s">
        <v>106</v>
      </c>
      <c r="G48" s="37">
        <v>5.24</v>
      </c>
      <c r="H48" s="24">
        <v>17697</v>
      </c>
      <c r="I48" s="38">
        <f t="shared" si="15"/>
        <v>92732.28</v>
      </c>
      <c r="J48" s="38"/>
      <c r="K48" s="38">
        <f>I48+J48</f>
        <v>92732.28</v>
      </c>
      <c r="L48" s="37">
        <v>15</v>
      </c>
      <c r="M48" s="37">
        <v>3</v>
      </c>
      <c r="N48" s="37"/>
      <c r="O48" s="24">
        <f>L48+M48+N48</f>
        <v>18</v>
      </c>
      <c r="P48" s="39">
        <f>L48/18</f>
        <v>0.83333333333333337</v>
      </c>
      <c r="Q48" s="39">
        <f>M48/18</f>
        <v>0.16666666666666666</v>
      </c>
      <c r="R48" s="39">
        <f>N48/18</f>
        <v>0</v>
      </c>
      <c r="S48" s="39">
        <f t="shared" si="2"/>
        <v>1</v>
      </c>
      <c r="T48" s="38">
        <f>K48*P48</f>
        <v>77276.900000000009</v>
      </c>
      <c r="U48" s="38">
        <f t="shared" si="7"/>
        <v>15455.38</v>
      </c>
      <c r="V48" s="38">
        <f>K48*R48</f>
        <v>0</v>
      </c>
      <c r="W48" s="38">
        <f>T48+U48+V48</f>
        <v>92732.280000000013</v>
      </c>
      <c r="X48" s="38">
        <f t="shared" si="44"/>
        <v>7727.6900000000014</v>
      </c>
      <c r="Y48" s="38">
        <f t="shared" si="45"/>
        <v>1545.538</v>
      </c>
      <c r="Z48" s="37"/>
      <c r="AA48" s="37"/>
      <c r="AB48" s="38"/>
      <c r="AC48" s="37"/>
      <c r="AD48" s="37"/>
      <c r="AE48" s="38"/>
      <c r="AF48" s="24"/>
      <c r="AG48" s="24"/>
      <c r="AH48" s="38"/>
      <c r="AI48" s="39"/>
      <c r="AJ48" s="37"/>
      <c r="AK48" s="38"/>
      <c r="AL48" s="39"/>
      <c r="AM48" s="37"/>
      <c r="AN48" s="38"/>
      <c r="AO48" s="38"/>
      <c r="AP48" s="37"/>
      <c r="AQ48" s="38"/>
      <c r="AR48" s="38">
        <f t="shared" si="11"/>
        <v>5899</v>
      </c>
      <c r="AS48" s="38">
        <f t="shared" si="12"/>
        <v>1179.8</v>
      </c>
      <c r="AT48" s="38"/>
      <c r="AU48" s="37"/>
      <c r="AV48" s="38"/>
      <c r="AW48" s="37"/>
      <c r="AX48" s="38"/>
      <c r="AY48" s="38">
        <f t="shared" si="13"/>
        <v>44171.712</v>
      </c>
      <c r="AZ48" s="38">
        <f>AY48+W48</f>
        <v>136903.99200000003</v>
      </c>
      <c r="BA48" s="38">
        <v>27819.684000000001</v>
      </c>
    </row>
    <row r="49" spans="1:53" s="105" customFormat="1" ht="27" x14ac:dyDescent="0.2">
      <c r="A49" s="37">
        <v>29</v>
      </c>
      <c r="B49" s="288" t="s">
        <v>248</v>
      </c>
      <c r="C49" s="37" t="s">
        <v>51</v>
      </c>
      <c r="D49" s="40" t="s">
        <v>96</v>
      </c>
      <c r="E49" s="37" t="s">
        <v>53</v>
      </c>
      <c r="F49" s="37" t="s">
        <v>106</v>
      </c>
      <c r="G49" s="37">
        <v>5.41</v>
      </c>
      <c r="H49" s="24">
        <v>17697</v>
      </c>
      <c r="I49" s="38">
        <f t="shared" si="15"/>
        <v>95740.77</v>
      </c>
      <c r="J49" s="38"/>
      <c r="K49" s="38">
        <f t="shared" si="3"/>
        <v>95740.77</v>
      </c>
      <c r="L49" s="37">
        <v>6</v>
      </c>
      <c r="M49" s="37">
        <v>12</v>
      </c>
      <c r="N49" s="37"/>
      <c r="O49" s="24">
        <f t="shared" ref="O49" si="63">L49+M49+N49</f>
        <v>18</v>
      </c>
      <c r="P49" s="39">
        <f t="shared" ref="P49:R49" si="64">L49/18</f>
        <v>0.33333333333333331</v>
      </c>
      <c r="Q49" s="39">
        <f t="shared" si="64"/>
        <v>0.66666666666666663</v>
      </c>
      <c r="R49" s="39">
        <f t="shared" si="64"/>
        <v>0</v>
      </c>
      <c r="S49" s="39">
        <f t="shared" si="2"/>
        <v>1</v>
      </c>
      <c r="T49" s="38">
        <f t="shared" si="6"/>
        <v>31913.59</v>
      </c>
      <c r="U49" s="38">
        <f t="shared" si="7"/>
        <v>63827.18</v>
      </c>
      <c r="V49" s="38">
        <f t="shared" ref="V49" si="65">K49*R49</f>
        <v>0</v>
      </c>
      <c r="W49" s="38">
        <f t="shared" si="9"/>
        <v>95740.77</v>
      </c>
      <c r="X49" s="38">
        <f t="shared" si="44"/>
        <v>3191.3590000000004</v>
      </c>
      <c r="Y49" s="38">
        <f t="shared" si="45"/>
        <v>6382.7180000000008</v>
      </c>
      <c r="Z49" s="37">
        <v>6</v>
      </c>
      <c r="AA49" s="37">
        <v>20</v>
      </c>
      <c r="AB49" s="38">
        <f>((17697/18)*Z49)*AA49/100</f>
        <v>1179.8</v>
      </c>
      <c r="AC49" s="37">
        <v>7</v>
      </c>
      <c r="AD49" s="38">
        <v>25</v>
      </c>
      <c r="AE49" s="168">
        <f t="shared" ref="AE49" si="66">((17697/18)*AC49)*AD49/100</f>
        <v>1720.5416666666665</v>
      </c>
      <c r="AF49" s="24"/>
      <c r="AG49" s="24"/>
      <c r="AH49" s="38"/>
      <c r="AI49" s="39"/>
      <c r="AJ49" s="37"/>
      <c r="AK49" s="38"/>
      <c r="AL49" s="39"/>
      <c r="AM49" s="37"/>
      <c r="AN49" s="38"/>
      <c r="AO49" s="38"/>
      <c r="AP49" s="37"/>
      <c r="AQ49" s="38"/>
      <c r="AR49" s="38">
        <f t="shared" si="11"/>
        <v>2359.6</v>
      </c>
      <c r="AS49" s="38">
        <f t="shared" si="12"/>
        <v>4719.2</v>
      </c>
      <c r="AT49" s="38"/>
      <c r="AU49" s="37"/>
      <c r="AV49" s="38"/>
      <c r="AW49" s="37"/>
      <c r="AX49" s="38"/>
      <c r="AY49" s="38">
        <f t="shared" si="13"/>
        <v>48275.449666666667</v>
      </c>
      <c r="AZ49" s="38">
        <f t="shared" si="14"/>
        <v>144016.21966666667</v>
      </c>
      <c r="BA49" s="38">
        <v>28722.231</v>
      </c>
    </row>
    <row r="50" spans="1:53" s="105" customFormat="1" ht="38.25" x14ac:dyDescent="0.2">
      <c r="A50" s="37">
        <v>30</v>
      </c>
      <c r="B50" s="288" t="s">
        <v>277</v>
      </c>
      <c r="C50" s="37" t="s">
        <v>51</v>
      </c>
      <c r="D50" s="24" t="s">
        <v>142</v>
      </c>
      <c r="E50" s="37">
        <v>2</v>
      </c>
      <c r="F50" s="37" t="s">
        <v>104</v>
      </c>
      <c r="G50" s="37">
        <v>4.74</v>
      </c>
      <c r="H50" s="24">
        <v>17697</v>
      </c>
      <c r="I50" s="38">
        <f t="shared" si="15"/>
        <v>83883.78</v>
      </c>
      <c r="J50" s="38"/>
      <c r="K50" s="38">
        <f t="shared" si="3"/>
        <v>83883.78</v>
      </c>
      <c r="L50" s="37">
        <v>8</v>
      </c>
      <c r="M50" s="37">
        <v>10</v>
      </c>
      <c r="N50" s="37"/>
      <c r="O50" s="24">
        <f t="shared" si="59"/>
        <v>18</v>
      </c>
      <c r="P50" s="39">
        <f t="shared" si="46"/>
        <v>0.44444444444444442</v>
      </c>
      <c r="Q50" s="39">
        <f t="shared" si="60"/>
        <v>0.55555555555555558</v>
      </c>
      <c r="R50" s="39">
        <f t="shared" si="62"/>
        <v>0</v>
      </c>
      <c r="S50" s="39">
        <f t="shared" si="2"/>
        <v>1</v>
      </c>
      <c r="T50" s="38">
        <f t="shared" si="6"/>
        <v>37281.68</v>
      </c>
      <c r="U50" s="38">
        <f t="shared" si="7"/>
        <v>46602.1</v>
      </c>
      <c r="V50" s="38">
        <f t="shared" si="61"/>
        <v>0</v>
      </c>
      <c r="W50" s="38">
        <f t="shared" si="9"/>
        <v>83883.78</v>
      </c>
      <c r="X50" s="38">
        <f t="shared" si="44"/>
        <v>3728.1680000000001</v>
      </c>
      <c r="Y50" s="38">
        <f t="shared" si="45"/>
        <v>4660.21</v>
      </c>
      <c r="Z50" s="24"/>
      <c r="AA50" s="38"/>
      <c r="AB50" s="38"/>
      <c r="AC50" s="37">
        <v>10</v>
      </c>
      <c r="AD50" s="38">
        <v>25</v>
      </c>
      <c r="AE50" s="168">
        <f t="shared" ref="AE50" si="67">((17697/18)*AC50)*AD50/100</f>
        <v>2457.9166666666665</v>
      </c>
      <c r="AF50" s="24"/>
      <c r="AG50" s="24"/>
      <c r="AH50" s="38"/>
      <c r="AI50" s="24"/>
      <c r="AJ50" s="261"/>
      <c r="AK50" s="38"/>
      <c r="AL50" s="24">
        <v>1</v>
      </c>
      <c r="AM50" s="261">
        <v>0.3</v>
      </c>
      <c r="AN50" s="38">
        <f>H50*AM50</f>
        <v>5309.0999999999995</v>
      </c>
      <c r="AO50" s="37"/>
      <c r="AP50" s="38"/>
      <c r="AQ50" s="39"/>
      <c r="AR50" s="38">
        <f t="shared" si="11"/>
        <v>3146.1333333333332</v>
      </c>
      <c r="AS50" s="38">
        <f t="shared" si="12"/>
        <v>3932.666666666667</v>
      </c>
      <c r="AT50" s="37"/>
      <c r="AU50" s="38"/>
      <c r="AV50" s="38"/>
      <c r="AW50" s="37"/>
      <c r="AX50" s="38"/>
      <c r="AY50" s="38">
        <f t="shared" si="13"/>
        <v>48399.328666666668</v>
      </c>
      <c r="AZ50" s="38">
        <f t="shared" si="14"/>
        <v>132283.10866666667</v>
      </c>
      <c r="BA50" s="38">
        <v>25165.133999999998</v>
      </c>
    </row>
    <row r="51" spans="1:53" s="105" customFormat="1" ht="27" x14ac:dyDescent="0.2">
      <c r="A51" s="37">
        <v>31</v>
      </c>
      <c r="B51" s="288" t="s">
        <v>251</v>
      </c>
      <c r="C51" s="37" t="s">
        <v>51</v>
      </c>
      <c r="D51" s="24" t="s">
        <v>96</v>
      </c>
      <c r="E51" s="37">
        <v>1</v>
      </c>
      <c r="F51" s="37" t="s">
        <v>107</v>
      </c>
      <c r="G51" s="37">
        <v>5.2</v>
      </c>
      <c r="H51" s="24">
        <v>17697</v>
      </c>
      <c r="I51" s="38">
        <f t="shared" si="15"/>
        <v>92024.400000000009</v>
      </c>
      <c r="J51" s="38"/>
      <c r="K51" s="38">
        <f>I51+J51</f>
        <v>92024.400000000009</v>
      </c>
      <c r="L51" s="37"/>
      <c r="M51" s="37">
        <v>25</v>
      </c>
      <c r="N51" s="37"/>
      <c r="O51" s="24">
        <f>L51+M51+N51</f>
        <v>25</v>
      </c>
      <c r="P51" s="39">
        <f>L51/18</f>
        <v>0</v>
      </c>
      <c r="Q51" s="39">
        <f>M51/18</f>
        <v>1.3888888888888888</v>
      </c>
      <c r="R51" s="39">
        <f>N51/18</f>
        <v>0</v>
      </c>
      <c r="S51" s="39">
        <f t="shared" si="2"/>
        <v>1.3888888888888888</v>
      </c>
      <c r="T51" s="38">
        <f>K51*P51</f>
        <v>0</v>
      </c>
      <c r="U51" s="38">
        <f t="shared" si="7"/>
        <v>127811.66666666667</v>
      </c>
      <c r="V51" s="38">
        <f>K51*R51</f>
        <v>0</v>
      </c>
      <c r="W51" s="38">
        <f>T51+U51+V51</f>
        <v>127811.66666666667</v>
      </c>
      <c r="X51" s="38">
        <f t="shared" si="44"/>
        <v>0</v>
      </c>
      <c r="Y51" s="38">
        <f t="shared" si="45"/>
        <v>12781.166666666668</v>
      </c>
      <c r="Z51" s="37"/>
      <c r="AA51" s="37"/>
      <c r="AB51" s="38"/>
      <c r="AC51" s="37"/>
      <c r="AD51" s="37"/>
      <c r="AE51" s="38"/>
      <c r="AF51" s="24"/>
      <c r="AG51" s="24"/>
      <c r="AH51" s="38"/>
      <c r="AI51" s="39"/>
      <c r="AJ51" s="37"/>
      <c r="AK51" s="38"/>
      <c r="AL51" s="39"/>
      <c r="AM51" s="37"/>
      <c r="AN51" s="38"/>
      <c r="AO51" s="39"/>
      <c r="AP51" s="37"/>
      <c r="AQ51" s="38"/>
      <c r="AR51" s="38">
        <f t="shared" si="11"/>
        <v>0</v>
      </c>
      <c r="AS51" s="38">
        <f t="shared" si="12"/>
        <v>9831.6666666666661</v>
      </c>
      <c r="AT51" s="38"/>
      <c r="AU51" s="37"/>
      <c r="AV51" s="38"/>
      <c r="AW51" s="37"/>
      <c r="AX51" s="38"/>
      <c r="AY51" s="38">
        <f t="shared" si="13"/>
        <v>60956.333333333336</v>
      </c>
      <c r="AZ51" s="38">
        <f>AY51+W51</f>
        <v>188768</v>
      </c>
      <c r="BA51" s="38">
        <v>38343.5</v>
      </c>
    </row>
    <row r="52" spans="1:53" s="105" customFormat="1" ht="27" x14ac:dyDescent="0.2">
      <c r="A52" s="37">
        <v>32</v>
      </c>
      <c r="B52" s="288" t="s">
        <v>281</v>
      </c>
      <c r="C52" s="37" t="s">
        <v>51</v>
      </c>
      <c r="D52" s="40" t="s">
        <v>96</v>
      </c>
      <c r="E52" s="37" t="s">
        <v>53</v>
      </c>
      <c r="F52" s="37" t="s">
        <v>106</v>
      </c>
      <c r="G52" s="37">
        <v>5.41</v>
      </c>
      <c r="H52" s="24">
        <v>17697</v>
      </c>
      <c r="I52" s="38">
        <f t="shared" si="15"/>
        <v>95740.77</v>
      </c>
      <c r="J52" s="38"/>
      <c r="K52" s="38">
        <f t="shared" si="3"/>
        <v>95740.77</v>
      </c>
      <c r="L52" s="37">
        <v>8</v>
      </c>
      <c r="M52" s="37">
        <v>1</v>
      </c>
      <c r="N52" s="37"/>
      <c r="O52" s="24">
        <f t="shared" si="59"/>
        <v>9</v>
      </c>
      <c r="P52" s="39">
        <f t="shared" si="46"/>
        <v>0.44444444444444442</v>
      </c>
      <c r="Q52" s="39">
        <f t="shared" si="60"/>
        <v>5.5555555555555552E-2</v>
      </c>
      <c r="R52" s="39">
        <f t="shared" si="62"/>
        <v>0</v>
      </c>
      <c r="S52" s="39">
        <f t="shared" si="2"/>
        <v>0.5</v>
      </c>
      <c r="T52" s="38">
        <f t="shared" si="6"/>
        <v>42551.453333333331</v>
      </c>
      <c r="U52" s="38">
        <f t="shared" si="7"/>
        <v>5318.9316666666664</v>
      </c>
      <c r="V52" s="38">
        <f t="shared" si="61"/>
        <v>0</v>
      </c>
      <c r="W52" s="38">
        <f t="shared" si="9"/>
        <v>47870.384999999995</v>
      </c>
      <c r="X52" s="38"/>
      <c r="Y52" s="38"/>
      <c r="Z52" s="37"/>
      <c r="AA52" s="37"/>
      <c r="AB52" s="38"/>
      <c r="AC52" s="37"/>
      <c r="AD52" s="37"/>
      <c r="AE52" s="38"/>
      <c r="AF52" s="24"/>
      <c r="AG52" s="24"/>
      <c r="AH52" s="38"/>
      <c r="AI52" s="39"/>
      <c r="AJ52" s="37"/>
      <c r="AK52" s="38"/>
      <c r="AL52" s="39"/>
      <c r="AM52" s="37"/>
      <c r="AN52" s="38"/>
      <c r="AO52" s="39"/>
      <c r="AP52" s="37"/>
      <c r="AQ52" s="38"/>
      <c r="AR52" s="38">
        <f t="shared" si="11"/>
        <v>3146.1333333333332</v>
      </c>
      <c r="AS52" s="38">
        <f t="shared" si="12"/>
        <v>393.26666666666665</v>
      </c>
      <c r="AT52" s="38"/>
      <c r="AU52" s="37"/>
      <c r="AV52" s="38"/>
      <c r="AW52" s="37"/>
      <c r="AX52" s="38"/>
      <c r="AY52" s="38">
        <f t="shared" si="13"/>
        <v>17900.515500000001</v>
      </c>
      <c r="AZ52" s="38">
        <f t="shared" si="14"/>
        <v>65770.900499999989</v>
      </c>
      <c r="BA52" s="38">
        <v>14361.1155</v>
      </c>
    </row>
    <row r="53" spans="1:53" s="105" customFormat="1" ht="38.25" x14ac:dyDescent="0.2">
      <c r="A53" s="37">
        <v>33</v>
      </c>
      <c r="B53" s="288" t="s">
        <v>246</v>
      </c>
      <c r="C53" s="37" t="s">
        <v>51</v>
      </c>
      <c r="D53" s="40" t="s">
        <v>141</v>
      </c>
      <c r="E53" s="24" t="s">
        <v>174</v>
      </c>
      <c r="F53" s="37" t="s">
        <v>104</v>
      </c>
      <c r="G53" s="37">
        <v>4.74</v>
      </c>
      <c r="H53" s="24">
        <v>17697</v>
      </c>
      <c r="I53" s="38">
        <f t="shared" si="15"/>
        <v>83883.78</v>
      </c>
      <c r="J53" s="38"/>
      <c r="K53" s="38">
        <f t="shared" si="3"/>
        <v>83883.78</v>
      </c>
      <c r="L53" s="37">
        <v>2</v>
      </c>
      <c r="M53" s="37">
        <v>21</v>
      </c>
      <c r="N53" s="37"/>
      <c r="O53" s="24">
        <f t="shared" si="59"/>
        <v>23</v>
      </c>
      <c r="P53" s="39">
        <f t="shared" si="46"/>
        <v>0.1111111111111111</v>
      </c>
      <c r="Q53" s="39">
        <f t="shared" si="60"/>
        <v>1.1666666666666667</v>
      </c>
      <c r="R53" s="39">
        <f t="shared" si="62"/>
        <v>0</v>
      </c>
      <c r="S53" s="39">
        <f t="shared" si="2"/>
        <v>1.2777777777777779</v>
      </c>
      <c r="T53" s="38">
        <f t="shared" si="6"/>
        <v>9320.42</v>
      </c>
      <c r="U53" s="38">
        <f t="shared" si="7"/>
        <v>97864.41</v>
      </c>
      <c r="V53" s="38">
        <f t="shared" si="61"/>
        <v>0</v>
      </c>
      <c r="W53" s="38">
        <f t="shared" si="9"/>
        <v>107184.83</v>
      </c>
      <c r="X53" s="38">
        <f t="shared" si="44"/>
        <v>932.04200000000003</v>
      </c>
      <c r="Y53" s="38">
        <f t="shared" si="45"/>
        <v>9786.4410000000007</v>
      </c>
      <c r="Z53" s="37">
        <v>2</v>
      </c>
      <c r="AA53" s="37">
        <v>20</v>
      </c>
      <c r="AB53" s="38">
        <f>((17697/18)*Z53)*AA53/100</f>
        <v>393.26666666666665</v>
      </c>
      <c r="AC53" s="37">
        <v>12</v>
      </c>
      <c r="AD53" s="37">
        <v>25</v>
      </c>
      <c r="AE53" s="38">
        <f>((17697/18)*AC53)*AD53/100</f>
        <v>2949.5</v>
      </c>
      <c r="AF53" s="24"/>
      <c r="AG53" s="24"/>
      <c r="AH53" s="38"/>
      <c r="AI53" s="24"/>
      <c r="AJ53" s="261"/>
      <c r="AK53" s="38"/>
      <c r="AL53" s="24">
        <v>1</v>
      </c>
      <c r="AM53" s="261">
        <v>0.3</v>
      </c>
      <c r="AN53" s="38">
        <f>H53*AM53</f>
        <v>5309.0999999999995</v>
      </c>
      <c r="AO53" s="39"/>
      <c r="AP53" s="37"/>
      <c r="AQ53" s="38"/>
      <c r="AR53" s="38">
        <f t="shared" si="11"/>
        <v>786.5333333333333</v>
      </c>
      <c r="AS53" s="38">
        <f t="shared" si="12"/>
        <v>8258.6</v>
      </c>
      <c r="AT53" s="165"/>
      <c r="AU53" s="37"/>
      <c r="AV53" s="38"/>
      <c r="AW53" s="37"/>
      <c r="AX53" s="38"/>
      <c r="AY53" s="38">
        <f>AX53+AV53+AS53+AQ53+AN53+AK53+AH53+AE53+AB53+Y53+X53+AR53+BA53+32155</f>
        <v>92725.932000000001</v>
      </c>
      <c r="AZ53" s="38">
        <f t="shared" si="14"/>
        <v>199910.76199999999</v>
      </c>
      <c r="BA53" s="38">
        <v>32155.449000000001</v>
      </c>
    </row>
    <row r="54" spans="1:53" s="105" customFormat="1" ht="38.25" x14ac:dyDescent="0.2">
      <c r="A54" s="37">
        <v>34</v>
      </c>
      <c r="B54" s="288" t="s">
        <v>247</v>
      </c>
      <c r="C54" s="37" t="s">
        <v>51</v>
      </c>
      <c r="D54" s="24" t="s">
        <v>206</v>
      </c>
      <c r="E54" s="37">
        <v>2</v>
      </c>
      <c r="F54" s="37" t="s">
        <v>104</v>
      </c>
      <c r="G54" s="167">
        <v>4.74</v>
      </c>
      <c r="H54" s="24">
        <v>17697</v>
      </c>
      <c r="I54" s="38">
        <f t="shared" si="15"/>
        <v>83883.78</v>
      </c>
      <c r="J54" s="38"/>
      <c r="K54" s="38">
        <f t="shared" si="3"/>
        <v>83883.78</v>
      </c>
      <c r="L54" s="37">
        <v>2</v>
      </c>
      <c r="M54" s="37">
        <v>18</v>
      </c>
      <c r="N54" s="37"/>
      <c r="O54" s="24">
        <f t="shared" si="59"/>
        <v>20</v>
      </c>
      <c r="P54" s="39">
        <f t="shared" si="46"/>
        <v>0.1111111111111111</v>
      </c>
      <c r="Q54" s="39">
        <f t="shared" si="60"/>
        <v>1</v>
      </c>
      <c r="R54" s="39">
        <f t="shared" si="62"/>
        <v>0</v>
      </c>
      <c r="S54" s="39">
        <f t="shared" si="2"/>
        <v>1.1111111111111112</v>
      </c>
      <c r="T54" s="38">
        <f t="shared" si="6"/>
        <v>9320.42</v>
      </c>
      <c r="U54" s="38">
        <f t="shared" si="7"/>
        <v>83883.78</v>
      </c>
      <c r="V54" s="38">
        <f t="shared" si="61"/>
        <v>0</v>
      </c>
      <c r="W54" s="38">
        <f t="shared" si="9"/>
        <v>93204.2</v>
      </c>
      <c r="X54" s="38">
        <f t="shared" ref="X54" si="68">T54*10%</f>
        <v>932.04200000000003</v>
      </c>
      <c r="Y54" s="38">
        <f t="shared" ref="Y54" si="69">U54*10%</f>
        <v>8388.3780000000006</v>
      </c>
      <c r="Z54" s="37"/>
      <c r="AA54" s="37"/>
      <c r="AB54" s="38"/>
      <c r="AC54" s="37"/>
      <c r="AD54" s="37"/>
      <c r="AE54" s="38"/>
      <c r="AF54" s="24"/>
      <c r="AG54" s="24"/>
      <c r="AH54" s="38"/>
      <c r="AI54" s="24"/>
      <c r="AJ54" s="261"/>
      <c r="AK54" s="38"/>
      <c r="AL54" s="24">
        <v>1</v>
      </c>
      <c r="AM54" s="261">
        <v>0.3</v>
      </c>
      <c r="AN54" s="38">
        <f>H54*AM54</f>
        <v>5309.0999999999995</v>
      </c>
      <c r="AO54" s="39"/>
      <c r="AP54" s="37"/>
      <c r="AQ54" s="38"/>
      <c r="AR54" s="38">
        <f t="shared" si="11"/>
        <v>786.5333333333333</v>
      </c>
      <c r="AS54" s="38">
        <f t="shared" si="12"/>
        <v>7078.8</v>
      </c>
      <c r="AT54" s="165"/>
      <c r="AU54" s="37"/>
      <c r="AV54" s="38"/>
      <c r="AW54" s="37"/>
      <c r="AX54" s="38"/>
      <c r="AY54" s="38">
        <f t="shared" si="13"/>
        <v>50456.113333333327</v>
      </c>
      <c r="AZ54" s="38">
        <f t="shared" si="14"/>
        <v>143660.31333333332</v>
      </c>
      <c r="BA54" s="38">
        <v>27961.26</v>
      </c>
    </row>
    <row r="55" spans="1:53" s="105" customFormat="1" ht="13.5" x14ac:dyDescent="0.2">
      <c r="A55" s="37"/>
      <c r="B55" s="288" t="s">
        <v>308</v>
      </c>
      <c r="C55" s="37" t="s">
        <v>54</v>
      </c>
      <c r="D55" s="24" t="s">
        <v>206</v>
      </c>
      <c r="E55" s="37" t="s">
        <v>81</v>
      </c>
      <c r="F55" s="37" t="s">
        <v>97</v>
      </c>
      <c r="G55" s="167">
        <v>3.53</v>
      </c>
      <c r="H55" s="24">
        <v>17697</v>
      </c>
      <c r="I55" s="38">
        <f t="shared" ref="I55" si="70">H55*G55</f>
        <v>62470.409999999996</v>
      </c>
      <c r="J55" s="38"/>
      <c r="K55" s="38">
        <f t="shared" ref="K55" si="71">I55+J55</f>
        <v>62470.409999999996</v>
      </c>
      <c r="L55" s="37"/>
      <c r="M55" s="37">
        <v>2</v>
      </c>
      <c r="N55" s="37"/>
      <c r="O55" s="24">
        <f t="shared" ref="O55" si="72">L55+M55+N55</f>
        <v>2</v>
      </c>
      <c r="P55" s="39">
        <f t="shared" ref="P55" si="73">L55/18</f>
        <v>0</v>
      </c>
      <c r="Q55" s="39">
        <f t="shared" ref="Q55" si="74">M55/18</f>
        <v>0.1111111111111111</v>
      </c>
      <c r="R55" s="39">
        <f t="shared" ref="R55" si="75">N55/18</f>
        <v>0</v>
      </c>
      <c r="S55" s="39">
        <f t="shared" ref="S55" si="76">P55+Q55+R55</f>
        <v>0.1111111111111111</v>
      </c>
      <c r="T55" s="38">
        <f t="shared" ref="T55" si="77">K55*P55</f>
        <v>0</v>
      </c>
      <c r="U55" s="38">
        <f t="shared" ref="U55" si="78">K55*Q55</f>
        <v>6941.1566666666658</v>
      </c>
      <c r="V55" s="38">
        <f t="shared" ref="V55" si="79">K55*R55</f>
        <v>0</v>
      </c>
      <c r="W55" s="38">
        <f t="shared" ref="W55" si="80">T55+U55+V55</f>
        <v>6941.1566666666658</v>
      </c>
      <c r="X55" s="38">
        <f t="shared" ref="X55" si="81">T55*10%</f>
        <v>0</v>
      </c>
      <c r="Y55" s="38">
        <f t="shared" ref="Y55" si="82">U55*10%</f>
        <v>694.11566666666658</v>
      </c>
      <c r="Z55" s="37"/>
      <c r="AA55" s="37"/>
      <c r="AB55" s="38"/>
      <c r="AC55" s="37"/>
      <c r="AD55" s="37"/>
      <c r="AE55" s="38"/>
      <c r="AF55" s="24"/>
      <c r="AG55" s="24"/>
      <c r="AH55" s="38"/>
      <c r="AI55" s="24"/>
      <c r="AJ55" s="261"/>
      <c r="AK55" s="38"/>
      <c r="AL55" s="24"/>
      <c r="AM55" s="261"/>
      <c r="AN55" s="38"/>
      <c r="AO55" s="39"/>
      <c r="AP55" s="37"/>
      <c r="AQ55" s="38"/>
      <c r="AR55" s="38">
        <f t="shared" ref="AR55" si="83">17697*40%*P55</f>
        <v>0</v>
      </c>
      <c r="AS55" s="38">
        <f t="shared" ref="AS55" si="84">17697*40%*Q55</f>
        <v>786.5333333333333</v>
      </c>
      <c r="AT55" s="165"/>
      <c r="AU55" s="37"/>
      <c r="AV55" s="38"/>
      <c r="AW55" s="37"/>
      <c r="AX55" s="38"/>
      <c r="AY55" s="38">
        <f t="shared" si="13"/>
        <v>3562.9959999999996</v>
      </c>
      <c r="AZ55" s="38">
        <f t="shared" ref="AZ55" si="85">AY55+W55</f>
        <v>10504.152666666665</v>
      </c>
      <c r="BA55" s="38">
        <v>2082.3469999999998</v>
      </c>
    </row>
    <row r="56" spans="1:53" s="105" customFormat="1" ht="25.5" x14ac:dyDescent="0.2">
      <c r="A56" s="37">
        <v>35</v>
      </c>
      <c r="B56" s="288" t="s">
        <v>138</v>
      </c>
      <c r="C56" s="37" t="s">
        <v>51</v>
      </c>
      <c r="D56" s="178" t="s">
        <v>208</v>
      </c>
      <c r="E56" s="37">
        <v>2</v>
      </c>
      <c r="F56" s="37" t="s">
        <v>104</v>
      </c>
      <c r="G56" s="37">
        <v>4.74</v>
      </c>
      <c r="H56" s="24">
        <v>17697</v>
      </c>
      <c r="I56" s="38">
        <f t="shared" si="15"/>
        <v>83883.78</v>
      </c>
      <c r="J56" s="38"/>
      <c r="K56" s="38">
        <f>I56+J56</f>
        <v>83883.78</v>
      </c>
      <c r="L56" s="37"/>
      <c r="M56" s="37">
        <v>4</v>
      </c>
      <c r="N56" s="37"/>
      <c r="O56" s="24">
        <f>L56+M56+N56</f>
        <v>4</v>
      </c>
      <c r="P56" s="39">
        <f>L56/18</f>
        <v>0</v>
      </c>
      <c r="Q56" s="39">
        <f>M56/18</f>
        <v>0.22222222222222221</v>
      </c>
      <c r="R56" s="39">
        <f>N56/18</f>
        <v>0</v>
      </c>
      <c r="S56" s="39">
        <f t="shared" si="2"/>
        <v>0.22222222222222221</v>
      </c>
      <c r="T56" s="38">
        <f>K56*P56</f>
        <v>0</v>
      </c>
      <c r="U56" s="38">
        <f t="shared" si="7"/>
        <v>18640.84</v>
      </c>
      <c r="V56" s="38">
        <f>K56*R56</f>
        <v>0</v>
      </c>
      <c r="W56" s="38">
        <f>T56+U56+V56</f>
        <v>18640.84</v>
      </c>
      <c r="X56" s="38"/>
      <c r="Y56" s="38"/>
      <c r="Z56" s="37"/>
      <c r="AA56" s="37"/>
      <c r="AB56" s="38"/>
      <c r="AC56" s="37"/>
      <c r="AD56" s="37"/>
      <c r="AE56" s="38"/>
      <c r="AF56" s="24"/>
      <c r="AG56" s="24"/>
      <c r="AH56" s="38"/>
      <c r="AI56" s="39"/>
      <c r="AJ56" s="37"/>
      <c r="AK56" s="38"/>
      <c r="AL56" s="39"/>
      <c r="AM56" s="37"/>
      <c r="AN56" s="38"/>
      <c r="AO56" s="39"/>
      <c r="AP56" s="37"/>
      <c r="AQ56" s="38"/>
      <c r="AR56" s="38">
        <f t="shared" si="11"/>
        <v>0</v>
      </c>
      <c r="AS56" s="38">
        <f t="shared" si="12"/>
        <v>1573.0666666666666</v>
      </c>
      <c r="AT56" s="165"/>
      <c r="AU56" s="37"/>
      <c r="AV56" s="38"/>
      <c r="AW56" s="37"/>
      <c r="AX56" s="38"/>
      <c r="AY56" s="38">
        <f t="shared" si="13"/>
        <v>7165.3186666666661</v>
      </c>
      <c r="AZ56" s="38">
        <f>AY56+W56</f>
        <v>25806.158666666666</v>
      </c>
      <c r="BA56" s="38">
        <v>5592.2519999999995</v>
      </c>
    </row>
    <row r="57" spans="1:53" s="105" customFormat="1" ht="25.5" x14ac:dyDescent="0.2">
      <c r="A57" s="37">
        <v>36</v>
      </c>
      <c r="B57" s="288" t="s">
        <v>260</v>
      </c>
      <c r="C57" s="37" t="s">
        <v>51</v>
      </c>
      <c r="D57" s="178" t="s">
        <v>207</v>
      </c>
      <c r="E57" s="37">
        <v>1</v>
      </c>
      <c r="F57" s="37" t="s">
        <v>107</v>
      </c>
      <c r="G57" s="37">
        <v>4.95</v>
      </c>
      <c r="H57" s="24">
        <v>17697</v>
      </c>
      <c r="I57" s="38">
        <f t="shared" si="15"/>
        <v>87600.150000000009</v>
      </c>
      <c r="J57" s="38"/>
      <c r="K57" s="38">
        <f t="shared" si="3"/>
        <v>87600.150000000009</v>
      </c>
      <c r="L57" s="37">
        <v>6</v>
      </c>
      <c r="M57" s="37">
        <v>2</v>
      </c>
      <c r="N57" s="37"/>
      <c r="O57" s="24">
        <f t="shared" si="59"/>
        <v>8</v>
      </c>
      <c r="P57" s="39">
        <f t="shared" si="46"/>
        <v>0.33333333333333331</v>
      </c>
      <c r="Q57" s="39">
        <f t="shared" si="60"/>
        <v>0.1111111111111111</v>
      </c>
      <c r="R57" s="39">
        <f t="shared" si="62"/>
        <v>0</v>
      </c>
      <c r="S57" s="39">
        <f t="shared" si="2"/>
        <v>0.44444444444444442</v>
      </c>
      <c r="T57" s="38">
        <f t="shared" si="6"/>
        <v>29200.050000000003</v>
      </c>
      <c r="U57" s="38">
        <f t="shared" si="7"/>
        <v>9733.35</v>
      </c>
      <c r="V57" s="38">
        <f t="shared" si="61"/>
        <v>0</v>
      </c>
      <c r="W57" s="38">
        <f t="shared" si="9"/>
        <v>38933.4</v>
      </c>
      <c r="X57" s="38"/>
      <c r="Y57" s="38"/>
      <c r="Z57" s="37"/>
      <c r="AA57" s="37"/>
      <c r="AB57" s="38"/>
      <c r="AC57" s="37"/>
      <c r="AD57" s="37"/>
      <c r="AE57" s="38"/>
      <c r="AF57" s="24"/>
      <c r="AG57" s="24"/>
      <c r="AH57" s="38"/>
      <c r="AI57" s="24"/>
      <c r="AJ57" s="261"/>
      <c r="AK57" s="38"/>
      <c r="AL57" s="39"/>
      <c r="AM57" s="37"/>
      <c r="AN57" s="38"/>
      <c r="AO57" s="39"/>
      <c r="AP57" s="37"/>
      <c r="AQ57" s="38"/>
      <c r="AR57" s="38">
        <f t="shared" si="11"/>
        <v>2359.6</v>
      </c>
      <c r="AS57" s="38">
        <f t="shared" si="12"/>
        <v>786.5333333333333</v>
      </c>
      <c r="AT57" s="165"/>
      <c r="AU57" s="37"/>
      <c r="AV57" s="38"/>
      <c r="AW57" s="37"/>
      <c r="AX57" s="38"/>
      <c r="AY57" s="38">
        <f t="shared" si="13"/>
        <v>14826.153333333334</v>
      </c>
      <c r="AZ57" s="38">
        <f t="shared" si="14"/>
        <v>53759.553333333337</v>
      </c>
      <c r="BA57" s="38">
        <v>11680.02</v>
      </c>
    </row>
    <row r="58" spans="1:53" s="105" customFormat="1" ht="25.5" x14ac:dyDescent="0.2">
      <c r="A58" s="37">
        <v>37</v>
      </c>
      <c r="B58" s="288" t="s">
        <v>257</v>
      </c>
      <c r="C58" s="37" t="s">
        <v>51</v>
      </c>
      <c r="D58" s="178" t="s">
        <v>209</v>
      </c>
      <c r="E58" s="37" t="s">
        <v>81</v>
      </c>
      <c r="F58" s="37" t="s">
        <v>105</v>
      </c>
      <c r="G58" s="37">
        <v>4.67</v>
      </c>
      <c r="H58" s="24">
        <v>17697</v>
      </c>
      <c r="I58" s="38">
        <f t="shared" si="15"/>
        <v>82644.990000000005</v>
      </c>
      <c r="J58" s="38"/>
      <c r="K58" s="38">
        <f t="shared" si="3"/>
        <v>82644.990000000005</v>
      </c>
      <c r="L58" s="37"/>
      <c r="M58" s="37">
        <v>25</v>
      </c>
      <c r="N58" s="37"/>
      <c r="O58" s="24">
        <f t="shared" si="59"/>
        <v>25</v>
      </c>
      <c r="P58" s="39">
        <f t="shared" si="46"/>
        <v>0</v>
      </c>
      <c r="Q58" s="39">
        <f t="shared" si="60"/>
        <v>1.3888888888888888</v>
      </c>
      <c r="R58" s="39">
        <f t="shared" si="62"/>
        <v>0</v>
      </c>
      <c r="S58" s="39">
        <f t="shared" si="2"/>
        <v>1.3888888888888888</v>
      </c>
      <c r="T58" s="38">
        <f t="shared" si="6"/>
        <v>0</v>
      </c>
      <c r="U58" s="38">
        <f t="shared" si="7"/>
        <v>114784.70833333334</v>
      </c>
      <c r="V58" s="38">
        <f t="shared" si="61"/>
        <v>0</v>
      </c>
      <c r="W58" s="38">
        <f t="shared" si="9"/>
        <v>114784.70833333334</v>
      </c>
      <c r="X58" s="38">
        <f t="shared" si="44"/>
        <v>0</v>
      </c>
      <c r="Y58" s="38">
        <f t="shared" si="45"/>
        <v>11478.470833333335</v>
      </c>
      <c r="Z58" s="37"/>
      <c r="AA58" s="37"/>
      <c r="AB58" s="38"/>
      <c r="AC58" s="37"/>
      <c r="AD58" s="37"/>
      <c r="AE58" s="38"/>
      <c r="AF58" s="24"/>
      <c r="AG58" s="24"/>
      <c r="AH58" s="38"/>
      <c r="AI58" s="24"/>
      <c r="AJ58" s="261"/>
      <c r="AK58" s="38"/>
      <c r="AL58" s="39"/>
      <c r="AM58" s="37"/>
      <c r="AN58" s="38"/>
      <c r="AO58" s="39"/>
      <c r="AP58" s="37"/>
      <c r="AQ58" s="38"/>
      <c r="AR58" s="38">
        <f t="shared" si="11"/>
        <v>0</v>
      </c>
      <c r="AS58" s="38">
        <f t="shared" si="12"/>
        <v>9831.6666666666661</v>
      </c>
      <c r="AT58" s="165"/>
      <c r="AU58" s="37"/>
      <c r="AV58" s="38"/>
      <c r="AW58" s="37"/>
      <c r="AX58" s="38"/>
      <c r="AY58" s="38">
        <f t="shared" si="13"/>
        <v>55745.55</v>
      </c>
      <c r="AZ58" s="38">
        <f t="shared" si="14"/>
        <v>170530.25833333336</v>
      </c>
      <c r="BA58" s="38">
        <v>34435.412499999999</v>
      </c>
    </row>
    <row r="59" spans="1:53" s="105" customFormat="1" ht="25.5" x14ac:dyDescent="0.2">
      <c r="A59" s="37">
        <v>38</v>
      </c>
      <c r="B59" s="288" t="s">
        <v>282</v>
      </c>
      <c r="C59" s="37" t="s">
        <v>51</v>
      </c>
      <c r="D59" s="37" t="s">
        <v>210</v>
      </c>
      <c r="E59" s="37" t="s">
        <v>53</v>
      </c>
      <c r="F59" s="37" t="s">
        <v>106</v>
      </c>
      <c r="G59" s="167">
        <v>5.24</v>
      </c>
      <c r="H59" s="24">
        <v>17697</v>
      </c>
      <c r="I59" s="38">
        <f t="shared" si="15"/>
        <v>92732.28</v>
      </c>
      <c r="J59" s="38"/>
      <c r="K59" s="38">
        <f>I59+J59</f>
        <v>92732.28</v>
      </c>
      <c r="L59" s="37">
        <v>12</v>
      </c>
      <c r="M59" s="37">
        <v>8</v>
      </c>
      <c r="N59" s="171"/>
      <c r="O59" s="24">
        <f>L59+M59+N59</f>
        <v>20</v>
      </c>
      <c r="P59" s="39">
        <f t="shared" ref="P59:R59" si="86">L59/18</f>
        <v>0.66666666666666663</v>
      </c>
      <c r="Q59" s="39">
        <f t="shared" si="86"/>
        <v>0.44444444444444442</v>
      </c>
      <c r="R59" s="39">
        <f t="shared" si="86"/>
        <v>0</v>
      </c>
      <c r="S59" s="39">
        <f t="shared" si="2"/>
        <v>1.1111111111111112</v>
      </c>
      <c r="T59" s="38">
        <f>K59*P59</f>
        <v>61821.52</v>
      </c>
      <c r="U59" s="38">
        <f t="shared" si="7"/>
        <v>41214.346666666665</v>
      </c>
      <c r="V59" s="38">
        <f>K59*R59</f>
        <v>0</v>
      </c>
      <c r="W59" s="38">
        <f>T59+U59+V59</f>
        <v>103035.86666666667</v>
      </c>
      <c r="X59" s="38">
        <f t="shared" si="44"/>
        <v>6182.152</v>
      </c>
      <c r="Y59" s="38">
        <f t="shared" si="45"/>
        <v>4121.434666666667</v>
      </c>
      <c r="Z59" s="37"/>
      <c r="AA59" s="37"/>
      <c r="AB59" s="38"/>
      <c r="AC59" s="37"/>
      <c r="AD59" s="37"/>
      <c r="AE59" s="38"/>
      <c r="AF59" s="24"/>
      <c r="AG59" s="24"/>
      <c r="AH59" s="38"/>
      <c r="AI59" s="39"/>
      <c r="AJ59" s="37"/>
      <c r="AK59" s="38"/>
      <c r="AL59" s="39"/>
      <c r="AM59" s="37"/>
      <c r="AN59" s="38"/>
      <c r="AO59" s="39"/>
      <c r="AP59" s="37"/>
      <c r="AQ59" s="38"/>
      <c r="AR59" s="38">
        <f t="shared" si="11"/>
        <v>4719.2</v>
      </c>
      <c r="AS59" s="38">
        <f t="shared" si="12"/>
        <v>3146.1333333333332</v>
      </c>
      <c r="AT59" s="38"/>
      <c r="AU59" s="37"/>
      <c r="AV59" s="38"/>
      <c r="AW59" s="37"/>
      <c r="AX59" s="38"/>
      <c r="AY59" s="38">
        <f t="shared" si="13"/>
        <v>49079.679999999993</v>
      </c>
      <c r="AZ59" s="38">
        <f t="shared" si="14"/>
        <v>152115.54666666666</v>
      </c>
      <c r="BA59" s="38">
        <v>30910.759999999995</v>
      </c>
    </row>
    <row r="60" spans="1:53" s="105" customFormat="1" ht="25.5" x14ac:dyDescent="0.2">
      <c r="A60" s="37">
        <v>39</v>
      </c>
      <c r="B60" s="288" t="s">
        <v>256</v>
      </c>
      <c r="C60" s="37" t="s">
        <v>51</v>
      </c>
      <c r="D60" s="37" t="s">
        <v>211</v>
      </c>
      <c r="E60" s="37" t="s">
        <v>53</v>
      </c>
      <c r="F60" s="37" t="s">
        <v>106</v>
      </c>
      <c r="G60" s="167">
        <v>5.08</v>
      </c>
      <c r="H60" s="24">
        <v>17697</v>
      </c>
      <c r="I60" s="38">
        <f t="shared" si="15"/>
        <v>89900.76</v>
      </c>
      <c r="J60" s="38"/>
      <c r="K60" s="38">
        <f t="shared" ref="K60:K62" si="87">I60+J60</f>
        <v>89900.76</v>
      </c>
      <c r="L60" s="37"/>
      <c r="M60" s="37">
        <v>20</v>
      </c>
      <c r="N60" s="170"/>
      <c r="O60" s="24">
        <f t="shared" si="59"/>
        <v>20</v>
      </c>
      <c r="P60" s="39">
        <f t="shared" si="46"/>
        <v>0</v>
      </c>
      <c r="Q60" s="39">
        <f t="shared" si="60"/>
        <v>1.1111111111111112</v>
      </c>
      <c r="R60" s="39">
        <f t="shared" si="62"/>
        <v>0</v>
      </c>
      <c r="S60" s="39">
        <f t="shared" si="2"/>
        <v>1.1111111111111112</v>
      </c>
      <c r="T60" s="38">
        <f t="shared" ref="T60:T62" si="88">K60*P60</f>
        <v>0</v>
      </c>
      <c r="U60" s="38">
        <f t="shared" si="7"/>
        <v>99889.733333333337</v>
      </c>
      <c r="V60" s="38">
        <f t="shared" si="61"/>
        <v>0</v>
      </c>
      <c r="W60" s="38">
        <f t="shared" ref="W60:W62" si="89">T60+U60+V60</f>
        <v>99889.733333333337</v>
      </c>
      <c r="X60" s="38">
        <f t="shared" si="44"/>
        <v>0</v>
      </c>
      <c r="Y60" s="38">
        <f t="shared" si="45"/>
        <v>9988.9733333333352</v>
      </c>
      <c r="Z60" s="37"/>
      <c r="AA60" s="37"/>
      <c r="AB60" s="38"/>
      <c r="AC60" s="37"/>
      <c r="AD60" s="37"/>
      <c r="AE60" s="38"/>
      <c r="AF60" s="24"/>
      <c r="AG60" s="24"/>
      <c r="AH60" s="38"/>
      <c r="AI60" s="39"/>
      <c r="AJ60" s="37"/>
      <c r="AK60" s="38"/>
      <c r="AL60" s="39"/>
      <c r="AM60" s="37"/>
      <c r="AN60" s="38"/>
      <c r="AO60" s="39"/>
      <c r="AP60" s="37"/>
      <c r="AQ60" s="38"/>
      <c r="AR60" s="38">
        <f t="shared" si="11"/>
        <v>0</v>
      </c>
      <c r="AS60" s="38">
        <f t="shared" si="12"/>
        <v>7865.3333333333339</v>
      </c>
      <c r="AT60" s="38"/>
      <c r="AU60" s="37"/>
      <c r="AV60" s="38"/>
      <c r="AW60" s="37"/>
      <c r="AX60" s="38"/>
      <c r="AY60" s="38">
        <f t="shared" si="13"/>
        <v>47821.226666666669</v>
      </c>
      <c r="AZ60" s="38">
        <f t="shared" si="14"/>
        <v>147710.96000000002</v>
      </c>
      <c r="BA60" s="38">
        <v>29966.92</v>
      </c>
    </row>
    <row r="61" spans="1:53" s="105" customFormat="1" ht="38.25" x14ac:dyDescent="0.2">
      <c r="A61" s="37">
        <v>40</v>
      </c>
      <c r="B61" s="102" t="s">
        <v>247</v>
      </c>
      <c r="C61" s="167" t="s">
        <v>54</v>
      </c>
      <c r="D61" s="40" t="s">
        <v>212</v>
      </c>
      <c r="E61" s="167">
        <v>2</v>
      </c>
      <c r="F61" s="167" t="s">
        <v>103</v>
      </c>
      <c r="G61" s="167">
        <v>4.09</v>
      </c>
      <c r="H61" s="24">
        <v>17697</v>
      </c>
      <c r="I61" s="38">
        <f t="shared" si="15"/>
        <v>72380.73</v>
      </c>
      <c r="J61" s="168"/>
      <c r="K61" s="38">
        <f t="shared" si="87"/>
        <v>72380.73</v>
      </c>
      <c r="L61" s="167">
        <v>6</v>
      </c>
      <c r="M61" s="167">
        <v>12</v>
      </c>
      <c r="N61" s="172"/>
      <c r="O61" s="40">
        <f t="shared" si="59"/>
        <v>18</v>
      </c>
      <c r="P61" s="169">
        <f t="shared" si="46"/>
        <v>0.33333333333333331</v>
      </c>
      <c r="Q61" s="169">
        <f t="shared" si="60"/>
        <v>0.66666666666666663</v>
      </c>
      <c r="R61" s="169">
        <f t="shared" si="62"/>
        <v>0</v>
      </c>
      <c r="S61" s="39">
        <f t="shared" si="2"/>
        <v>1</v>
      </c>
      <c r="T61" s="38">
        <f t="shared" si="88"/>
        <v>24126.909999999996</v>
      </c>
      <c r="U61" s="38">
        <f t="shared" si="7"/>
        <v>48253.819999999992</v>
      </c>
      <c r="V61" s="168">
        <f t="shared" si="61"/>
        <v>0</v>
      </c>
      <c r="W61" s="38">
        <f t="shared" si="89"/>
        <v>72380.729999999981</v>
      </c>
      <c r="X61" s="38">
        <f t="shared" si="44"/>
        <v>2412.6909999999998</v>
      </c>
      <c r="Y61" s="38">
        <f t="shared" si="45"/>
        <v>4825.3819999999996</v>
      </c>
      <c r="Z61" s="167"/>
      <c r="AA61" s="167"/>
      <c r="AB61" s="168"/>
      <c r="AC61" s="167"/>
      <c r="AD61" s="167"/>
      <c r="AE61" s="168"/>
      <c r="AF61" s="40"/>
      <c r="AG61" s="40"/>
      <c r="AH61" s="168"/>
      <c r="AI61" s="169"/>
      <c r="AJ61" s="167"/>
      <c r="AK61" s="168"/>
      <c r="AL61" s="39"/>
      <c r="AM61" s="37"/>
      <c r="AN61" s="38"/>
      <c r="AO61" s="38"/>
      <c r="AP61" s="24"/>
      <c r="AQ61" s="38"/>
      <c r="AR61" s="38">
        <f t="shared" si="11"/>
        <v>2359.6</v>
      </c>
      <c r="AS61" s="38">
        <f t="shared" si="12"/>
        <v>4719.2</v>
      </c>
      <c r="AT61" s="168"/>
      <c r="AU61" s="167"/>
      <c r="AV61" s="168"/>
      <c r="AW61" s="167"/>
      <c r="AX61" s="168"/>
      <c r="AY61" s="38">
        <f t="shared" si="13"/>
        <v>36031.091999999997</v>
      </c>
      <c r="AZ61" s="38">
        <f t="shared" si="14"/>
        <v>108411.82199999999</v>
      </c>
      <c r="BA61" s="38">
        <v>21714.218999999997</v>
      </c>
    </row>
    <row r="62" spans="1:53" s="105" customFormat="1" ht="27" x14ac:dyDescent="0.2">
      <c r="A62" s="37">
        <v>41</v>
      </c>
      <c r="B62" s="288" t="s">
        <v>275</v>
      </c>
      <c r="C62" s="37" t="s">
        <v>51</v>
      </c>
      <c r="D62" s="40" t="s">
        <v>96</v>
      </c>
      <c r="E62" s="37" t="s">
        <v>53</v>
      </c>
      <c r="F62" s="37" t="s">
        <v>106</v>
      </c>
      <c r="G62" s="37">
        <v>5.41</v>
      </c>
      <c r="H62" s="24">
        <v>17697</v>
      </c>
      <c r="I62" s="38">
        <f t="shared" si="15"/>
        <v>95740.77</v>
      </c>
      <c r="J62" s="38"/>
      <c r="K62" s="38">
        <f t="shared" si="87"/>
        <v>95740.77</v>
      </c>
      <c r="L62" s="37">
        <v>13</v>
      </c>
      <c r="M62" s="37">
        <v>10</v>
      </c>
      <c r="N62" s="171"/>
      <c r="O62" s="24">
        <f t="shared" si="59"/>
        <v>23</v>
      </c>
      <c r="P62" s="39">
        <f t="shared" si="46"/>
        <v>0.72222222222222221</v>
      </c>
      <c r="Q62" s="39">
        <f t="shared" si="60"/>
        <v>0.55555555555555558</v>
      </c>
      <c r="R62" s="39">
        <f t="shared" si="62"/>
        <v>0</v>
      </c>
      <c r="S62" s="39">
        <f t="shared" ref="S62" si="90">P62+Q62+R62</f>
        <v>1.2777777777777777</v>
      </c>
      <c r="T62" s="38">
        <f t="shared" si="88"/>
        <v>69146.111666666664</v>
      </c>
      <c r="U62" s="38">
        <f t="shared" si="7"/>
        <v>53189.316666666673</v>
      </c>
      <c r="V62" s="38">
        <f t="shared" si="61"/>
        <v>0</v>
      </c>
      <c r="W62" s="38">
        <f t="shared" si="89"/>
        <v>122335.42833333334</v>
      </c>
      <c r="X62" s="38">
        <f t="shared" si="44"/>
        <v>6914.6111666666666</v>
      </c>
      <c r="Y62" s="38">
        <f t="shared" si="45"/>
        <v>5318.9316666666673</v>
      </c>
      <c r="Z62" s="37"/>
      <c r="AA62" s="37"/>
      <c r="AB62" s="38"/>
      <c r="AC62" s="37"/>
      <c r="AD62" s="37"/>
      <c r="AE62" s="38"/>
      <c r="AF62" s="24"/>
      <c r="AG62" s="24"/>
      <c r="AH62" s="38"/>
      <c r="AI62" s="39"/>
      <c r="AJ62" s="37"/>
      <c r="AK62" s="38"/>
      <c r="AL62" s="39"/>
      <c r="AM62" s="37"/>
      <c r="AN62" s="38"/>
      <c r="AO62" s="39"/>
      <c r="AP62" s="37"/>
      <c r="AQ62" s="38"/>
      <c r="AR62" s="38">
        <f t="shared" si="11"/>
        <v>5112.4666666666672</v>
      </c>
      <c r="AS62" s="38">
        <f t="shared" si="12"/>
        <v>3932.666666666667</v>
      </c>
      <c r="AT62" s="38"/>
      <c r="AU62" s="37"/>
      <c r="AV62" s="38"/>
      <c r="AW62" s="37"/>
      <c r="AX62" s="38"/>
      <c r="AY62" s="38">
        <f t="shared" si="13"/>
        <v>57979.304666666663</v>
      </c>
      <c r="AZ62" s="38">
        <f t="shared" si="14"/>
        <v>180314.73300000001</v>
      </c>
      <c r="BA62" s="38">
        <v>36700.628499999999</v>
      </c>
    </row>
    <row r="63" spans="1:53" x14ac:dyDescent="0.2">
      <c r="A63" s="9"/>
      <c r="B63" s="12" t="s">
        <v>25</v>
      </c>
      <c r="C63" s="16" t="s">
        <v>25</v>
      </c>
      <c r="D63" s="16"/>
      <c r="E63" s="16" t="s">
        <v>25</v>
      </c>
      <c r="F63" s="16" t="s">
        <v>25</v>
      </c>
      <c r="G63" s="16" t="s">
        <v>25</v>
      </c>
      <c r="H63" s="16" t="s">
        <v>25</v>
      </c>
      <c r="I63" s="13">
        <f>SUM(I20:I62)</f>
        <v>3657262.0199999991</v>
      </c>
      <c r="J63" s="13">
        <f>SUM(J20:J62)</f>
        <v>0</v>
      </c>
      <c r="K63" s="13">
        <f>SUM(K20:K62)</f>
        <v>3657262.0199999991</v>
      </c>
      <c r="L63" s="13">
        <f t="shared" ref="L63:R63" si="91">SUM(L19:L62)</f>
        <v>348</v>
      </c>
      <c r="M63" s="13">
        <f t="shared" si="91"/>
        <v>420</v>
      </c>
      <c r="N63" s="13">
        <f t="shared" si="91"/>
        <v>0</v>
      </c>
      <c r="O63" s="13">
        <f t="shared" si="91"/>
        <v>768</v>
      </c>
      <c r="P63" s="14">
        <f t="shared" si="91"/>
        <v>19.333333333333329</v>
      </c>
      <c r="Q63" s="14">
        <f t="shared" si="91"/>
        <v>23.333333333333332</v>
      </c>
      <c r="R63" s="14">
        <f t="shared" si="91"/>
        <v>0</v>
      </c>
      <c r="S63" s="14">
        <f>SUM(S19:S62)</f>
        <v>42.666666666666671</v>
      </c>
      <c r="T63" s="13">
        <f>SUM(T19:T62)</f>
        <v>1668964.7433333332</v>
      </c>
      <c r="U63" s="13">
        <f>SUM(U19:U62)</f>
        <v>2040080.6650000003</v>
      </c>
      <c r="V63" s="13">
        <f t="shared" ref="V63:AE63" si="92">SUM(V19:V62)</f>
        <v>0</v>
      </c>
      <c r="W63" s="13">
        <f t="shared" si="92"/>
        <v>3709045.4083333323</v>
      </c>
      <c r="X63" s="13">
        <f t="shared" si="92"/>
        <v>157629.14533333329</v>
      </c>
      <c r="Y63" s="13">
        <f>SUM(Y19:Y62)</f>
        <v>195274.59700000001</v>
      </c>
      <c r="Z63" s="13">
        <f t="shared" si="92"/>
        <v>60</v>
      </c>
      <c r="AA63" s="13"/>
      <c r="AB63" s="13">
        <f>SUM(AB19:AB62)</f>
        <v>11797.999999999996</v>
      </c>
      <c r="AC63" s="13">
        <f t="shared" si="92"/>
        <v>47</v>
      </c>
      <c r="AD63" s="13"/>
      <c r="AE63" s="13">
        <f t="shared" si="92"/>
        <v>11552.208333333332</v>
      </c>
      <c r="AF63" s="13">
        <f>SUM(AF20:AF62)</f>
        <v>0</v>
      </c>
      <c r="AG63" s="13">
        <f>SUM(AG20:AG62)</f>
        <v>0</v>
      </c>
      <c r="AH63" s="13">
        <f>SUM(AH20:AH62)</f>
        <v>0</v>
      </c>
      <c r="AI63" s="13">
        <f t="shared" ref="AI63:AJ63" si="93">SUM(AI19:AI62)</f>
        <v>8</v>
      </c>
      <c r="AJ63" s="13">
        <f t="shared" si="93"/>
        <v>2</v>
      </c>
      <c r="AK63" s="13">
        <f>SUM(AK19:AK62)</f>
        <v>35394</v>
      </c>
      <c r="AL63" s="13">
        <f t="shared" ref="AL63:AQ63" si="94">SUM(AL20:AL62)</f>
        <v>5</v>
      </c>
      <c r="AM63" s="13">
        <f t="shared" si="94"/>
        <v>1.5</v>
      </c>
      <c r="AN63" s="13">
        <f t="shared" si="94"/>
        <v>26545.499999999996</v>
      </c>
      <c r="AO63" s="13">
        <f t="shared" si="94"/>
        <v>0</v>
      </c>
      <c r="AP63" s="13">
        <f t="shared" si="94"/>
        <v>0</v>
      </c>
      <c r="AQ63" s="13">
        <f t="shared" si="94"/>
        <v>0</v>
      </c>
      <c r="AR63" s="13">
        <f t="shared" ref="AR63" si="95">SUM(AR19:AR62)</f>
        <v>136856.80000000002</v>
      </c>
      <c r="AS63" s="13">
        <f>SUM(AS19:AS62)</f>
        <v>165172</v>
      </c>
      <c r="AT63" s="13">
        <f>SUM(AT20:AT62)</f>
        <v>0</v>
      </c>
      <c r="AU63" s="13">
        <f>SUM(AU20:AU62)</f>
        <v>0</v>
      </c>
      <c r="AV63" s="13">
        <f>SUM(AV20:AV62)</f>
        <v>0</v>
      </c>
      <c r="AW63" s="13">
        <f>SUM(AW20:AW62)</f>
        <v>0</v>
      </c>
      <c r="AX63" s="13">
        <f>SUM(AX20:AX62)</f>
        <v>0</v>
      </c>
      <c r="AY63" s="13">
        <f t="shared" ref="AY63" si="96">SUM(AY19:AY62)</f>
        <v>1893337.8731666668</v>
      </c>
      <c r="AZ63" s="13">
        <f>SUM(AZ19:AZ62)+62167</f>
        <v>5664550.2815000014</v>
      </c>
    </row>
    <row r="64" spans="1:53" x14ac:dyDescent="0.2">
      <c r="B64" s="73"/>
      <c r="C64" s="122"/>
      <c r="D64" s="122"/>
      <c r="E64" s="122"/>
      <c r="F64" s="122"/>
      <c r="G64" s="122"/>
      <c r="H64" s="122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1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</row>
    <row r="65" spans="1:52" s="45" customFormat="1" ht="19.5" customHeight="1" x14ac:dyDescent="0.25">
      <c r="A65" s="74"/>
      <c r="B65" s="259"/>
      <c r="C65" s="286" t="s">
        <v>19</v>
      </c>
      <c r="D65" s="256"/>
      <c r="E65" s="256"/>
      <c r="F65" s="121"/>
      <c r="G65" s="256"/>
      <c r="H65" s="281" t="s">
        <v>88</v>
      </c>
      <c r="I65" s="281"/>
      <c r="J65" s="266"/>
      <c r="K65" s="43"/>
      <c r="L65" s="43"/>
      <c r="M65" s="43"/>
      <c r="N65" s="43"/>
      <c r="O65" s="121"/>
      <c r="P65" s="3"/>
      <c r="Q65" s="43"/>
      <c r="R65" s="121"/>
      <c r="S65" s="121"/>
      <c r="T65" s="43"/>
      <c r="U65" s="121"/>
      <c r="V65" s="121"/>
      <c r="W65" s="43"/>
    </row>
    <row r="66" spans="1:52" s="5" customFormat="1" ht="12" customHeight="1" x14ac:dyDescent="0.2">
      <c r="B66" s="258"/>
      <c r="C66" s="3"/>
      <c r="D66" s="287" t="s">
        <v>29</v>
      </c>
      <c r="E66" s="287"/>
      <c r="F66" s="3"/>
      <c r="G66" s="3"/>
      <c r="H66" s="287" t="s">
        <v>30</v>
      </c>
      <c r="I66" s="287"/>
      <c r="J66" s="267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8"/>
    </row>
    <row r="67" spans="1:52" s="4" customFormat="1" ht="19.5" customHeight="1" x14ac:dyDescent="0.2">
      <c r="B67" s="259"/>
      <c r="C67" s="286" t="s">
        <v>20</v>
      </c>
      <c r="D67" s="256"/>
      <c r="E67" s="256"/>
      <c r="F67" s="121"/>
      <c r="G67" s="256"/>
      <c r="H67" s="281" t="s">
        <v>115</v>
      </c>
      <c r="I67" s="281"/>
      <c r="J67" s="266"/>
      <c r="K67" s="121"/>
      <c r="L67" s="121"/>
      <c r="M67" s="121"/>
      <c r="N67" s="121"/>
      <c r="O67" s="121"/>
      <c r="P67" s="121"/>
      <c r="Q67" s="121"/>
      <c r="R67" s="121"/>
      <c r="S67" s="3"/>
      <c r="T67" s="121"/>
      <c r="U67" s="121"/>
      <c r="V67" s="121"/>
      <c r="W67" s="43"/>
    </row>
    <row r="68" spans="1:52" s="5" customFormat="1" ht="10.5" customHeight="1" x14ac:dyDescent="0.2">
      <c r="B68" s="258"/>
      <c r="C68" s="3"/>
      <c r="D68" s="287" t="s">
        <v>29</v>
      </c>
      <c r="E68" s="287"/>
      <c r="F68" s="3"/>
      <c r="G68" s="3"/>
      <c r="H68" s="287" t="s">
        <v>30</v>
      </c>
      <c r="I68" s="287"/>
      <c r="J68" s="267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8"/>
    </row>
    <row r="69" spans="1:52" s="4" customFormat="1" ht="19.5" customHeight="1" x14ac:dyDescent="0.2">
      <c r="B69" s="259"/>
      <c r="C69" s="286" t="s">
        <v>28</v>
      </c>
      <c r="D69" s="256"/>
      <c r="E69" s="256"/>
      <c r="F69" s="121"/>
      <c r="G69" s="256"/>
      <c r="H69" s="281" t="s">
        <v>92</v>
      </c>
      <c r="I69" s="281"/>
      <c r="J69" s="266"/>
      <c r="K69" s="121"/>
      <c r="L69" s="121"/>
      <c r="M69" s="121"/>
      <c r="N69" s="121"/>
      <c r="O69" s="121"/>
      <c r="P69" s="121"/>
      <c r="Q69" s="121"/>
      <c r="R69" s="121"/>
      <c r="S69" s="3"/>
      <c r="T69" s="121"/>
      <c r="U69" s="121"/>
      <c r="V69" s="121"/>
      <c r="W69" s="43"/>
    </row>
    <row r="70" spans="1:52" s="5" customFormat="1" ht="13.5" customHeight="1" x14ac:dyDescent="0.2">
      <c r="B70" s="258"/>
      <c r="C70" s="3"/>
      <c r="D70" s="287" t="s">
        <v>29</v>
      </c>
      <c r="E70" s="287"/>
      <c r="F70" s="3"/>
      <c r="G70" s="3"/>
      <c r="H70" s="287" t="s">
        <v>30</v>
      </c>
      <c r="I70" s="287"/>
      <c r="J70" s="267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8"/>
    </row>
    <row r="71" spans="1:52" s="4" customFormat="1" ht="19.5" customHeight="1" x14ac:dyDescent="0.2">
      <c r="B71" s="258"/>
      <c r="C71" s="286" t="s">
        <v>267</v>
      </c>
      <c r="D71" s="256"/>
      <c r="E71" s="256"/>
      <c r="F71" s="3"/>
      <c r="G71" s="265"/>
      <c r="H71" s="281" t="s">
        <v>135</v>
      </c>
      <c r="I71" s="281"/>
      <c r="J71" s="266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8"/>
    </row>
    <row r="72" spans="1:52" s="4" customFormat="1" ht="13.5" customHeight="1" x14ac:dyDescent="0.2">
      <c r="B72" s="260"/>
      <c r="C72" s="46"/>
      <c r="D72" s="287" t="s">
        <v>29</v>
      </c>
      <c r="E72" s="287"/>
      <c r="F72" s="3"/>
      <c r="G72" s="3"/>
      <c r="H72" s="287" t="s">
        <v>30</v>
      </c>
      <c r="I72" s="287"/>
      <c r="J72" s="267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8"/>
    </row>
    <row r="75" spans="1:52" x14ac:dyDescent="0.2">
      <c r="A75" s="80"/>
      <c r="D75" s="7"/>
      <c r="E75" s="7"/>
      <c r="G75" s="7"/>
      <c r="H75" s="7"/>
      <c r="I75" s="7"/>
      <c r="L75" s="47"/>
      <c r="M75" s="48"/>
      <c r="N75" s="8"/>
      <c r="O75" s="8"/>
      <c r="P75" s="8"/>
      <c r="Q75" s="8"/>
      <c r="R75" s="8"/>
      <c r="S75" s="8"/>
      <c r="T75" s="8"/>
      <c r="U75" s="8"/>
      <c r="W75" s="8"/>
      <c r="X75" s="8"/>
      <c r="Y75" s="8"/>
      <c r="Z75" s="8"/>
      <c r="AA75" s="8"/>
      <c r="AB75" s="8"/>
      <c r="AC75" s="80"/>
      <c r="AD75" s="80"/>
      <c r="AE75" s="80"/>
      <c r="AF75" s="80"/>
      <c r="AG75" s="80"/>
      <c r="AH75" s="80"/>
      <c r="AI75" s="80"/>
      <c r="AJ75" s="80"/>
      <c r="AK75" s="80"/>
      <c r="AL75" s="80"/>
      <c r="AM75" s="80"/>
      <c r="AN75" s="80"/>
      <c r="AO75" s="80"/>
      <c r="AP75" s="80"/>
      <c r="AQ75" s="80"/>
      <c r="AR75" s="80"/>
      <c r="AS75" s="80"/>
      <c r="AT75" s="80"/>
      <c r="AU75" s="80"/>
      <c r="AV75" s="80"/>
      <c r="AW75" s="80"/>
      <c r="AX75" s="80"/>
      <c r="AY75" s="80"/>
      <c r="AZ75" s="80"/>
    </row>
  </sheetData>
  <mergeCells count="42">
    <mergeCell ref="X15:Y16"/>
    <mergeCell ref="AR16:AS16"/>
    <mergeCell ref="B14:U14"/>
    <mergeCell ref="A13:U13"/>
    <mergeCell ref="A15:A17"/>
    <mergeCell ref="B15:B17"/>
    <mergeCell ref="C15:C17"/>
    <mergeCell ref="D15:D17"/>
    <mergeCell ref="G15:W15"/>
    <mergeCell ref="S16:S17"/>
    <mergeCell ref="J16:J17"/>
    <mergeCell ref="E15:E17"/>
    <mergeCell ref="F15:F17"/>
    <mergeCell ref="G16:G17"/>
    <mergeCell ref="G2:U2"/>
    <mergeCell ref="T16:V16"/>
    <mergeCell ref="K16:K17"/>
    <mergeCell ref="L16:N16"/>
    <mergeCell ref="O16:O17"/>
    <mergeCell ref="P16:R16"/>
    <mergeCell ref="H16:H17"/>
    <mergeCell ref="I16:I17"/>
    <mergeCell ref="K9:N9"/>
    <mergeCell ref="K10:N10"/>
    <mergeCell ref="K11:N11"/>
    <mergeCell ref="K12:N12"/>
    <mergeCell ref="B2:D2"/>
    <mergeCell ref="AY15:AY17"/>
    <mergeCell ref="AZ15:AZ17"/>
    <mergeCell ref="Z16:AB16"/>
    <mergeCell ref="AC16:AE16"/>
    <mergeCell ref="AF16:AH16"/>
    <mergeCell ref="AI16:AK16"/>
    <mergeCell ref="AL16:AN16"/>
    <mergeCell ref="AO16:AQ16"/>
    <mergeCell ref="AT16:AV16"/>
    <mergeCell ref="AW16:AX16"/>
    <mergeCell ref="Z15:AX15"/>
    <mergeCell ref="W16:W17"/>
    <mergeCell ref="K6:N6"/>
    <mergeCell ref="K7:N7"/>
    <mergeCell ref="K8:N8"/>
  </mergeCells>
  <pageMargins left="0.23622047244094491" right="0.23622047244094491" top="0.19685039370078741" bottom="0.19685039370078741" header="0.19685039370078741" footer="0.19685039370078741"/>
  <pageSetup paperSize="9" scale="84" fitToHeight="0" orientation="portrait" r:id="rId1"/>
  <colBreaks count="1" manualBreakCount="1">
    <brk id="23" max="6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4"/>
  <sheetViews>
    <sheetView view="pageBreakPreview" zoomScaleNormal="100" zoomScaleSheetLayoutView="100" workbookViewId="0">
      <pane xSplit="4" ySplit="10" topLeftCell="E29" activePane="bottomRight" state="frozen"/>
      <selection pane="topRight" activeCell="G1" sqref="G1"/>
      <selection pane="bottomLeft" activeCell="A12" sqref="A12"/>
      <selection pane="bottomRight" activeCell="AE33" sqref="AE33"/>
    </sheetView>
  </sheetViews>
  <sheetFormatPr defaultColWidth="8.85546875" defaultRowHeight="12.75" x14ac:dyDescent="0.2"/>
  <cols>
    <col min="1" max="1" width="5" style="104" customWidth="1"/>
    <col min="2" max="2" width="11.42578125" style="104" customWidth="1"/>
    <col min="3" max="6" width="8.85546875" style="104"/>
    <col min="7" max="10" width="0" style="104" hidden="1" customWidth="1"/>
    <col min="11" max="11" width="11.5703125" style="104" hidden="1" customWidth="1"/>
    <col min="12" max="12" width="0" style="104" hidden="1" customWidth="1"/>
    <col min="13" max="13" width="8.85546875" style="104"/>
    <col min="14" max="14" width="11.140625" style="104" hidden="1" customWidth="1"/>
    <col min="15" max="15" width="10.42578125" style="104" hidden="1" customWidth="1"/>
    <col min="16" max="17" width="0" style="104" hidden="1" customWidth="1"/>
    <col min="18" max="18" width="9.42578125" style="104" hidden="1" customWidth="1"/>
    <col min="19" max="21" width="0" style="104" hidden="1" customWidth="1"/>
    <col min="22" max="22" width="6.7109375" style="104" hidden="1" customWidth="1"/>
    <col min="23" max="23" width="4" style="104" hidden="1" customWidth="1"/>
    <col min="24" max="24" width="8" style="104" hidden="1" customWidth="1"/>
    <col min="25" max="27" width="0" style="104" hidden="1" customWidth="1"/>
    <col min="28" max="28" width="8.85546875" style="104"/>
    <col min="29" max="29" width="9.42578125" style="104" bestFit="1" customWidth="1"/>
    <col min="30" max="16384" width="8.85546875" style="104"/>
  </cols>
  <sheetData>
    <row r="1" spans="1:51" s="80" customFormat="1" ht="15" customHeight="1" x14ac:dyDescent="0.25">
      <c r="A1" s="3"/>
      <c r="B1" s="2" t="s">
        <v>63</v>
      </c>
      <c r="C1" s="114"/>
      <c r="D1" s="117"/>
      <c r="E1" s="117"/>
      <c r="F1" s="117"/>
      <c r="G1" s="117"/>
      <c r="H1" s="117"/>
      <c r="I1" s="114" t="s">
        <v>64</v>
      </c>
      <c r="J1" s="117"/>
      <c r="K1" s="117"/>
      <c r="L1" s="117"/>
      <c r="M1" s="257" t="s">
        <v>64</v>
      </c>
      <c r="N1" s="117"/>
      <c r="O1" s="117"/>
      <c r="P1" s="117"/>
      <c r="Q1" s="117"/>
      <c r="R1" s="117"/>
      <c r="S1" s="3"/>
      <c r="T1" s="3"/>
      <c r="U1" s="3"/>
      <c r="V1" s="8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8"/>
    </row>
    <row r="2" spans="1:51" s="80" customFormat="1" ht="69" customHeight="1" x14ac:dyDescent="0.25">
      <c r="A2" s="3"/>
      <c r="B2" s="328" t="s">
        <v>176</v>
      </c>
      <c r="C2" s="328"/>
      <c r="D2" s="117"/>
      <c r="E2" s="117"/>
      <c r="F2" s="117"/>
      <c r="G2" s="328" t="s">
        <v>175</v>
      </c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  <c r="V2" s="328"/>
      <c r="W2" s="328"/>
      <c r="X2" s="328"/>
      <c r="Y2" s="328"/>
      <c r="Z2" s="328"/>
      <c r="AA2" s="328"/>
      <c r="AB2" s="328"/>
      <c r="AC2" s="328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8"/>
    </row>
    <row r="3" spans="1:51" s="80" customFormat="1" ht="15.75" x14ac:dyDescent="0.25">
      <c r="A3" s="3"/>
      <c r="B3" s="2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3"/>
      <c r="T3" s="3"/>
      <c r="U3" s="3"/>
      <c r="V3" s="8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8"/>
    </row>
    <row r="4" spans="1:51" s="105" customFormat="1" ht="13.5" x14ac:dyDescent="0.2">
      <c r="B4" s="20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8"/>
      <c r="Q4" s="19"/>
      <c r="R4" s="19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</row>
    <row r="5" spans="1:51" s="105" customFormat="1" ht="31.5" customHeight="1" x14ac:dyDescent="0.2"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6"/>
      <c r="O5" s="326"/>
      <c r="P5" s="326"/>
      <c r="Q5" s="326"/>
      <c r="R5" s="19"/>
      <c r="S5" s="17"/>
      <c r="T5" s="17"/>
      <c r="U5" s="17"/>
      <c r="V5" s="17"/>
      <c r="W5" s="17"/>
      <c r="X5" s="17"/>
      <c r="Y5" s="17"/>
      <c r="Z5" s="17"/>
      <c r="AA5" s="17"/>
      <c r="AB5" s="21"/>
      <c r="AC5" s="19"/>
      <c r="AD5" s="107"/>
      <c r="AE5" s="107"/>
      <c r="AF5" s="107"/>
      <c r="AG5" s="107"/>
      <c r="AH5" s="108"/>
      <c r="AI5" s="107"/>
    </row>
    <row r="6" spans="1:51" s="105" customFormat="1" ht="13.5" x14ac:dyDescent="0.2">
      <c r="B6" s="327"/>
      <c r="C6" s="327"/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327"/>
      <c r="Q6" s="327"/>
      <c r="R6" s="19"/>
      <c r="S6" s="17"/>
      <c r="T6" s="17"/>
      <c r="U6" s="17"/>
      <c r="V6" s="17"/>
      <c r="W6" s="17"/>
      <c r="X6" s="17"/>
      <c r="Y6" s="17"/>
      <c r="Z6" s="17"/>
      <c r="AA6" s="17"/>
      <c r="AB6" s="21"/>
      <c r="AC6" s="19"/>
      <c r="AD6" s="107"/>
      <c r="AE6" s="107"/>
      <c r="AF6" s="107"/>
      <c r="AG6" s="107"/>
      <c r="AH6" s="108"/>
      <c r="AI6" s="107"/>
    </row>
    <row r="7" spans="1:51" s="105" customFormat="1" ht="13.5" x14ac:dyDescent="0.2">
      <c r="B7" s="20"/>
      <c r="C7" s="22"/>
      <c r="D7" s="17"/>
      <c r="E7" s="17"/>
      <c r="F7" s="17"/>
      <c r="G7" s="17"/>
      <c r="H7" s="17"/>
      <c r="I7" s="17"/>
      <c r="J7" s="17"/>
      <c r="K7" s="17"/>
      <c r="L7" s="23"/>
      <c r="M7" s="17"/>
      <c r="N7" s="17"/>
      <c r="O7" s="17"/>
      <c r="P7" s="17"/>
      <c r="Q7" s="21"/>
      <c r="R7" s="19"/>
      <c r="S7" s="19"/>
      <c r="T7" s="21"/>
      <c r="U7" s="19"/>
      <c r="V7" s="19"/>
      <c r="W7" s="19"/>
      <c r="X7" s="19"/>
      <c r="Y7" s="19"/>
      <c r="Z7" s="19"/>
      <c r="AA7" s="19"/>
      <c r="AB7" s="17"/>
      <c r="AC7" s="17"/>
    </row>
    <row r="8" spans="1:51" s="121" customFormat="1" ht="41.25" customHeight="1" x14ac:dyDescent="0.2">
      <c r="A8" s="293" t="s">
        <v>0</v>
      </c>
      <c r="B8" s="294" t="s">
        <v>38</v>
      </c>
      <c r="C8" s="294" t="s">
        <v>46</v>
      </c>
      <c r="D8" s="294" t="s">
        <v>48</v>
      </c>
      <c r="E8" s="294" t="s">
        <v>17</v>
      </c>
      <c r="F8" s="294" t="s">
        <v>27</v>
      </c>
      <c r="G8" s="294" t="s">
        <v>26</v>
      </c>
      <c r="H8" s="294" t="s">
        <v>2</v>
      </c>
      <c r="I8" s="294" t="s">
        <v>3</v>
      </c>
      <c r="J8" s="294" t="s">
        <v>10</v>
      </c>
      <c r="K8" s="294" t="s">
        <v>11</v>
      </c>
      <c r="L8" s="294" t="s">
        <v>32</v>
      </c>
      <c r="M8" s="294" t="s">
        <v>33</v>
      </c>
      <c r="N8" s="294" t="s">
        <v>31</v>
      </c>
      <c r="O8" s="294" t="s">
        <v>86</v>
      </c>
      <c r="P8" s="290" t="s">
        <v>14</v>
      </c>
      <c r="Q8" s="291"/>
      <c r="R8" s="292"/>
      <c r="S8" s="290" t="s">
        <v>13</v>
      </c>
      <c r="T8" s="291"/>
      <c r="U8" s="292"/>
      <c r="V8" s="290" t="s">
        <v>36</v>
      </c>
      <c r="W8" s="291"/>
      <c r="X8" s="292"/>
      <c r="Y8" s="321" t="s">
        <v>84</v>
      </c>
      <c r="Z8" s="322"/>
      <c r="AA8" s="323"/>
      <c r="AB8" s="294" t="s">
        <v>21</v>
      </c>
      <c r="AC8" s="294" t="s">
        <v>24</v>
      </c>
    </row>
    <row r="9" spans="1:51" s="182" customFormat="1" ht="54.75" customHeight="1" x14ac:dyDescent="0.2">
      <c r="A9" s="293"/>
      <c r="B9" s="297"/>
      <c r="C9" s="297"/>
      <c r="D9" s="297"/>
      <c r="E9" s="297"/>
      <c r="F9" s="297"/>
      <c r="G9" s="297"/>
      <c r="H9" s="297"/>
      <c r="I9" s="297"/>
      <c r="J9" s="297"/>
      <c r="K9" s="297"/>
      <c r="L9" s="297"/>
      <c r="M9" s="297"/>
      <c r="N9" s="297"/>
      <c r="O9" s="324"/>
      <c r="P9" s="113" t="s">
        <v>89</v>
      </c>
      <c r="Q9" s="181" t="s">
        <v>8</v>
      </c>
      <c r="R9" s="113" t="s">
        <v>12</v>
      </c>
      <c r="S9" s="113" t="s">
        <v>89</v>
      </c>
      <c r="T9" s="10" t="s">
        <v>8</v>
      </c>
      <c r="U9" s="112" t="s">
        <v>12</v>
      </c>
      <c r="V9" s="113" t="s">
        <v>89</v>
      </c>
      <c r="W9" s="181" t="s">
        <v>8</v>
      </c>
      <c r="X9" s="113" t="s">
        <v>12</v>
      </c>
      <c r="Y9" s="113" t="s">
        <v>89</v>
      </c>
      <c r="Z9" s="181" t="s">
        <v>8</v>
      </c>
      <c r="AA9" s="113" t="s">
        <v>12</v>
      </c>
      <c r="AB9" s="297"/>
      <c r="AC9" s="297"/>
    </row>
    <row r="10" spans="1:51" s="15" customFormat="1" x14ac:dyDescent="0.2">
      <c r="A10" s="293"/>
      <c r="B10" s="120">
        <v>3</v>
      </c>
      <c r="C10" s="120">
        <v>4</v>
      </c>
      <c r="D10" s="120">
        <v>6</v>
      </c>
      <c r="E10" s="120">
        <v>7</v>
      </c>
      <c r="F10" s="120">
        <v>8</v>
      </c>
      <c r="G10" s="120">
        <v>9</v>
      </c>
      <c r="H10" s="120">
        <v>10</v>
      </c>
      <c r="I10" s="120">
        <v>11</v>
      </c>
      <c r="J10" s="120">
        <v>12</v>
      </c>
      <c r="K10" s="120">
        <v>13</v>
      </c>
      <c r="L10" s="120">
        <v>14</v>
      </c>
      <c r="M10" s="120">
        <v>15</v>
      </c>
      <c r="N10" s="120">
        <v>16</v>
      </c>
      <c r="O10" s="120">
        <v>17</v>
      </c>
      <c r="P10" s="120">
        <v>24</v>
      </c>
      <c r="Q10" s="120">
        <v>25</v>
      </c>
      <c r="R10" s="120">
        <v>26</v>
      </c>
      <c r="S10" s="120">
        <v>27</v>
      </c>
      <c r="T10" s="120">
        <v>28</v>
      </c>
      <c r="U10" s="120">
        <v>29</v>
      </c>
      <c r="V10" s="120">
        <v>30</v>
      </c>
      <c r="W10" s="120">
        <v>31</v>
      </c>
      <c r="X10" s="120">
        <v>32</v>
      </c>
      <c r="Y10" s="120">
        <v>33</v>
      </c>
      <c r="Z10" s="120"/>
      <c r="AA10" s="120"/>
      <c r="AB10" s="120">
        <v>34</v>
      </c>
      <c r="AC10" s="120">
        <v>35</v>
      </c>
      <c r="AD10" s="76"/>
      <c r="AE10" s="76"/>
      <c r="AF10" s="76"/>
      <c r="AG10" s="76"/>
    </row>
    <row r="11" spans="1:51" s="15" customFormat="1" x14ac:dyDescent="0.2">
      <c r="A11" s="120">
        <v>1</v>
      </c>
      <c r="B11" s="101" t="s">
        <v>52</v>
      </c>
      <c r="C11" s="9" t="s">
        <v>51</v>
      </c>
      <c r="D11" s="175" t="s">
        <v>187</v>
      </c>
      <c r="E11" s="120">
        <v>1</v>
      </c>
      <c r="F11" s="9" t="s">
        <v>99</v>
      </c>
      <c r="G11" s="97">
        <v>4.16</v>
      </c>
      <c r="H11" s="120">
        <v>17697</v>
      </c>
      <c r="I11" s="11">
        <f t="shared" ref="I11:I30" si="0">(H11*G11)</f>
        <v>73619.520000000004</v>
      </c>
      <c r="J11" s="98"/>
      <c r="K11" s="11">
        <f t="shared" ref="K11:K30" si="1">I11+J11</f>
        <v>73619.520000000004</v>
      </c>
      <c r="L11" s="120">
        <v>25</v>
      </c>
      <c r="M11" s="87">
        <f t="shared" ref="M11:M30" si="2">L11/25</f>
        <v>1</v>
      </c>
      <c r="N11" s="11">
        <f t="shared" ref="N11:N30" si="3">K11*M11</f>
        <v>73619.520000000004</v>
      </c>
      <c r="O11" s="11">
        <f>K11*10%*M11</f>
        <v>7361.9520000000011</v>
      </c>
      <c r="P11" s="97">
        <f>M11</f>
        <v>1</v>
      </c>
      <c r="Q11" s="9">
        <v>40</v>
      </c>
      <c r="R11" s="11">
        <f t="shared" ref="R11:R31" si="4">17697*P11*Q11/100</f>
        <v>7078.8</v>
      </c>
      <c r="S11" s="9"/>
      <c r="T11" s="100"/>
      <c r="U11" s="98"/>
      <c r="V11" s="103"/>
      <c r="W11" s="11"/>
      <c r="X11" s="98"/>
      <c r="Y11" s="98"/>
      <c r="Z11" s="98"/>
      <c r="AA11" s="98"/>
      <c r="AB11" s="11">
        <f>AA11+X11+U11+R11+O11</f>
        <v>14440.752</v>
      </c>
      <c r="AC11" s="11">
        <f>AB11+N11</f>
        <v>88060.271999999997</v>
      </c>
      <c r="AD11" s="76"/>
      <c r="AE11" s="76"/>
      <c r="AF11" s="76"/>
      <c r="AG11" s="76"/>
    </row>
    <row r="12" spans="1:51" s="15" customFormat="1" x14ac:dyDescent="0.2">
      <c r="A12" s="120">
        <v>2</v>
      </c>
      <c r="B12" s="101" t="s">
        <v>52</v>
      </c>
      <c r="C12" s="100" t="s">
        <v>51</v>
      </c>
      <c r="D12" s="102" t="s">
        <v>213</v>
      </c>
      <c r="E12" s="9" t="s">
        <v>81</v>
      </c>
      <c r="F12" s="9" t="s">
        <v>101</v>
      </c>
      <c r="G12" s="97">
        <v>3.78</v>
      </c>
      <c r="H12" s="120">
        <v>17697</v>
      </c>
      <c r="I12" s="11">
        <f>(H12*G12)</f>
        <v>66894.66</v>
      </c>
      <c r="J12" s="11"/>
      <c r="K12" s="11">
        <f>I12+J12</f>
        <v>66894.66</v>
      </c>
      <c r="L12" s="120">
        <v>12.5</v>
      </c>
      <c r="M12" s="87">
        <f>L12/25</f>
        <v>0.5</v>
      </c>
      <c r="N12" s="11">
        <f>K12*M12</f>
        <v>33447.33</v>
      </c>
      <c r="O12" s="11">
        <f t="shared" ref="O12:O32" si="5">K12*10%*M12</f>
        <v>3344.7330000000002</v>
      </c>
      <c r="P12" s="97">
        <f>M12</f>
        <v>0.5</v>
      </c>
      <c r="Q12" s="9">
        <v>40</v>
      </c>
      <c r="R12" s="11">
        <f t="shared" si="4"/>
        <v>3539.4</v>
      </c>
      <c r="S12" s="87"/>
      <c r="T12" s="9"/>
      <c r="U12" s="11"/>
      <c r="V12" s="11"/>
      <c r="W12" s="11"/>
      <c r="X12" s="98"/>
      <c r="Y12" s="11"/>
      <c r="Z12" s="11"/>
      <c r="AA12" s="11"/>
      <c r="AB12" s="11">
        <f t="shared" ref="AB12:AB31" si="6">AA12+X12+U12+R12+O12</f>
        <v>6884.1329999999998</v>
      </c>
      <c r="AC12" s="11">
        <f t="shared" ref="AC12:AC31" si="7">AB12+N12</f>
        <v>40331.463000000003</v>
      </c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</row>
    <row r="13" spans="1:51" s="15" customFormat="1" x14ac:dyDescent="0.2">
      <c r="A13" s="120">
        <v>3</v>
      </c>
      <c r="B13" s="101" t="s">
        <v>52</v>
      </c>
      <c r="C13" s="100" t="s">
        <v>51</v>
      </c>
      <c r="D13" s="102" t="s">
        <v>214</v>
      </c>
      <c r="E13" s="9">
        <v>2</v>
      </c>
      <c r="F13" s="9" t="s">
        <v>100</v>
      </c>
      <c r="G13" s="97">
        <v>4.28</v>
      </c>
      <c r="H13" s="120">
        <v>17697</v>
      </c>
      <c r="I13" s="11">
        <f t="shared" si="0"/>
        <v>75743.16</v>
      </c>
      <c r="J13" s="11"/>
      <c r="K13" s="11">
        <f t="shared" si="1"/>
        <v>75743.16</v>
      </c>
      <c r="L13" s="120">
        <v>37.5</v>
      </c>
      <c r="M13" s="87">
        <f t="shared" si="2"/>
        <v>1.5</v>
      </c>
      <c r="N13" s="11">
        <f t="shared" si="3"/>
        <v>113614.74</v>
      </c>
      <c r="O13" s="11">
        <f t="shared" si="5"/>
        <v>11361.474000000002</v>
      </c>
      <c r="P13" s="97">
        <v>1.5</v>
      </c>
      <c r="Q13" s="9">
        <v>40</v>
      </c>
      <c r="R13" s="11">
        <f t="shared" si="4"/>
        <v>10618.2</v>
      </c>
      <c r="S13" s="87"/>
      <c r="T13" s="9"/>
      <c r="U13" s="11"/>
      <c r="V13" s="11"/>
      <c r="W13" s="11"/>
      <c r="X13" s="98"/>
      <c r="Y13" s="11"/>
      <c r="Z13" s="11"/>
      <c r="AA13" s="11"/>
      <c r="AB13" s="11">
        <f t="shared" si="6"/>
        <v>21979.674000000003</v>
      </c>
      <c r="AC13" s="11">
        <f t="shared" si="7"/>
        <v>135594.41400000002</v>
      </c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</row>
    <row r="14" spans="1:51" s="80" customFormat="1" x14ac:dyDescent="0.2">
      <c r="A14" s="120">
        <v>4</v>
      </c>
      <c r="B14" s="101" t="s">
        <v>52</v>
      </c>
      <c r="C14" s="100" t="s">
        <v>51</v>
      </c>
      <c r="D14" s="102" t="s">
        <v>170</v>
      </c>
      <c r="E14" s="9" t="s">
        <v>81</v>
      </c>
      <c r="F14" s="9" t="s">
        <v>101</v>
      </c>
      <c r="G14" s="9">
        <v>3.71</v>
      </c>
      <c r="H14" s="120">
        <v>17697</v>
      </c>
      <c r="I14" s="11">
        <f>(H14*G14)</f>
        <v>65655.87</v>
      </c>
      <c r="J14" s="11"/>
      <c r="K14" s="11">
        <f>I14+J14</f>
        <v>65655.87</v>
      </c>
      <c r="L14" s="120">
        <v>25</v>
      </c>
      <c r="M14" s="87">
        <f>L14/25</f>
        <v>1</v>
      </c>
      <c r="N14" s="11">
        <f>K14*M14</f>
        <v>65655.87</v>
      </c>
      <c r="O14" s="11">
        <f t="shared" si="5"/>
        <v>6565.5869999999995</v>
      </c>
      <c r="P14" s="97">
        <f>M14</f>
        <v>1</v>
      </c>
      <c r="Q14" s="9">
        <v>40</v>
      </c>
      <c r="R14" s="11">
        <f t="shared" si="4"/>
        <v>7078.8</v>
      </c>
      <c r="S14" s="87"/>
      <c r="T14" s="9"/>
      <c r="U14" s="11"/>
      <c r="V14" s="11"/>
      <c r="W14" s="11"/>
      <c r="X14" s="98"/>
      <c r="Y14" s="11"/>
      <c r="Z14" s="11"/>
      <c r="AA14" s="11"/>
      <c r="AB14" s="11">
        <f t="shared" si="6"/>
        <v>13644.386999999999</v>
      </c>
      <c r="AC14" s="11">
        <f t="shared" si="7"/>
        <v>79300.256999999998</v>
      </c>
    </row>
    <row r="15" spans="1:51" s="80" customFormat="1" x14ac:dyDescent="0.2">
      <c r="A15" s="120">
        <v>5</v>
      </c>
      <c r="B15" s="101" t="s">
        <v>52</v>
      </c>
      <c r="C15" s="9" t="s">
        <v>51</v>
      </c>
      <c r="D15" s="9" t="s">
        <v>186</v>
      </c>
      <c r="E15" s="9">
        <v>2</v>
      </c>
      <c r="F15" s="9" t="s">
        <v>100</v>
      </c>
      <c r="G15" s="120">
        <v>4.07</v>
      </c>
      <c r="H15" s="120">
        <v>17697</v>
      </c>
      <c r="I15" s="11">
        <f t="shared" si="0"/>
        <v>72026.790000000008</v>
      </c>
      <c r="J15" s="11"/>
      <c r="K15" s="11">
        <f t="shared" si="1"/>
        <v>72026.790000000008</v>
      </c>
      <c r="L15" s="120">
        <v>37.5</v>
      </c>
      <c r="M15" s="87">
        <f t="shared" si="2"/>
        <v>1.5</v>
      </c>
      <c r="N15" s="11">
        <f t="shared" si="3"/>
        <v>108040.18500000001</v>
      </c>
      <c r="O15" s="11">
        <f t="shared" si="5"/>
        <v>10804.018500000002</v>
      </c>
      <c r="P15" s="97">
        <f t="shared" ref="P15:P26" si="8">M15</f>
        <v>1.5</v>
      </c>
      <c r="Q15" s="9">
        <v>40</v>
      </c>
      <c r="R15" s="11">
        <f t="shared" si="4"/>
        <v>10618.2</v>
      </c>
      <c r="S15" s="87"/>
      <c r="T15" s="9"/>
      <c r="U15" s="11"/>
      <c r="V15" s="11"/>
      <c r="W15" s="11"/>
      <c r="X15" s="98"/>
      <c r="Y15" s="11"/>
      <c r="Z15" s="11"/>
      <c r="AA15" s="11"/>
      <c r="AB15" s="11">
        <f t="shared" si="6"/>
        <v>21422.218500000003</v>
      </c>
      <c r="AC15" s="11">
        <f t="shared" si="7"/>
        <v>129462.40350000001</v>
      </c>
    </row>
    <row r="16" spans="1:51" s="80" customFormat="1" x14ac:dyDescent="0.2">
      <c r="A16" s="273">
        <v>6</v>
      </c>
      <c r="B16" s="101" t="s">
        <v>52</v>
      </c>
      <c r="C16" s="9" t="s">
        <v>51</v>
      </c>
      <c r="D16" s="9" t="s">
        <v>302</v>
      </c>
      <c r="E16" s="9" t="s">
        <v>81</v>
      </c>
      <c r="F16" s="9" t="s">
        <v>101</v>
      </c>
      <c r="G16" s="273">
        <v>3.78</v>
      </c>
      <c r="H16" s="273">
        <v>17697</v>
      </c>
      <c r="I16" s="11">
        <f t="shared" ref="I16" si="9">(H16*G16)</f>
        <v>66894.66</v>
      </c>
      <c r="J16" s="11"/>
      <c r="K16" s="11">
        <f t="shared" ref="K16" si="10">I16+J16</f>
        <v>66894.66</v>
      </c>
      <c r="L16" s="273">
        <v>37.5</v>
      </c>
      <c r="M16" s="87">
        <f t="shared" ref="M16" si="11">L16/25</f>
        <v>1.5</v>
      </c>
      <c r="N16" s="11">
        <f t="shared" ref="N16" si="12">K16*M16</f>
        <v>100341.99</v>
      </c>
      <c r="O16" s="11">
        <f t="shared" ref="O16" si="13">K16*10%*M16</f>
        <v>10034.199000000001</v>
      </c>
      <c r="P16" s="97">
        <f t="shared" ref="P16" si="14">M16</f>
        <v>1.5</v>
      </c>
      <c r="Q16" s="9">
        <v>40</v>
      </c>
      <c r="R16" s="11">
        <f t="shared" ref="R16" si="15">17697*P16*Q16/100</f>
        <v>10618.2</v>
      </c>
      <c r="S16" s="87"/>
      <c r="T16" s="9"/>
      <c r="U16" s="11"/>
      <c r="V16" s="11"/>
      <c r="W16" s="11"/>
      <c r="X16" s="98"/>
      <c r="Y16" s="11"/>
      <c r="Z16" s="11"/>
      <c r="AA16" s="11"/>
      <c r="AB16" s="11">
        <f t="shared" ref="AB16" si="16">AA16+X16+U16+R16+O16</f>
        <v>20652.399000000001</v>
      </c>
      <c r="AC16" s="11">
        <f t="shared" ref="AC16" si="17">AB16+N16</f>
        <v>120994.38900000001</v>
      </c>
    </row>
    <row r="17" spans="1:29" s="80" customFormat="1" x14ac:dyDescent="0.2">
      <c r="A17" s="120">
        <v>7</v>
      </c>
      <c r="B17" s="101" t="s">
        <v>52</v>
      </c>
      <c r="C17" s="100" t="s">
        <v>51</v>
      </c>
      <c r="D17" s="9" t="s">
        <v>215</v>
      </c>
      <c r="E17" s="9" t="s">
        <v>81</v>
      </c>
      <c r="F17" s="9" t="s">
        <v>101</v>
      </c>
      <c r="G17" s="9">
        <v>4.0599999999999996</v>
      </c>
      <c r="H17" s="120">
        <v>17697</v>
      </c>
      <c r="I17" s="11">
        <f>(H17*G17)</f>
        <v>71849.819999999992</v>
      </c>
      <c r="J17" s="11"/>
      <c r="K17" s="11">
        <f>I17+J17</f>
        <v>71849.819999999992</v>
      </c>
      <c r="L17" s="120">
        <v>37.5</v>
      </c>
      <c r="M17" s="87">
        <f>L17/25</f>
        <v>1.5</v>
      </c>
      <c r="N17" s="11">
        <f>K17*M17</f>
        <v>107774.72999999998</v>
      </c>
      <c r="O17" s="11">
        <f t="shared" si="5"/>
        <v>10777.473</v>
      </c>
      <c r="P17" s="97">
        <f>M17</f>
        <v>1.5</v>
      </c>
      <c r="Q17" s="9">
        <v>40</v>
      </c>
      <c r="R17" s="11">
        <f t="shared" si="4"/>
        <v>10618.2</v>
      </c>
      <c r="S17" s="87"/>
      <c r="T17" s="9"/>
      <c r="U17" s="11"/>
      <c r="V17" s="103">
        <f>P17</f>
        <v>1.5</v>
      </c>
      <c r="W17" s="11">
        <v>50</v>
      </c>
      <c r="X17" s="98">
        <f>K17/103.45*50%*8*15</f>
        <v>41672.20106331561</v>
      </c>
      <c r="Y17" s="103">
        <f>P17</f>
        <v>1.5</v>
      </c>
      <c r="Z17" s="11">
        <v>50</v>
      </c>
      <c r="AA17" s="98">
        <f>K17/103.45*50%*9</f>
        <v>3125.4150797486705</v>
      </c>
      <c r="AB17" s="11">
        <f t="shared" si="6"/>
        <v>66193.289143064278</v>
      </c>
      <c r="AC17" s="11">
        <f t="shared" si="7"/>
        <v>173968.01914306427</v>
      </c>
    </row>
    <row r="18" spans="1:29" s="80" customFormat="1" x14ac:dyDescent="0.2">
      <c r="A18" s="120">
        <v>8</v>
      </c>
      <c r="B18" s="101" t="s">
        <v>52</v>
      </c>
      <c r="C18" s="100" t="s">
        <v>51</v>
      </c>
      <c r="D18" s="180" t="s">
        <v>216</v>
      </c>
      <c r="E18" s="9">
        <v>2</v>
      </c>
      <c r="F18" s="9" t="s">
        <v>100</v>
      </c>
      <c r="G18" s="120">
        <v>4.28</v>
      </c>
      <c r="H18" s="120">
        <v>17697</v>
      </c>
      <c r="I18" s="11">
        <f t="shared" si="0"/>
        <v>75743.16</v>
      </c>
      <c r="J18" s="11"/>
      <c r="K18" s="11">
        <f t="shared" si="1"/>
        <v>75743.16</v>
      </c>
      <c r="L18" s="120">
        <v>25</v>
      </c>
      <c r="M18" s="87">
        <f t="shared" si="2"/>
        <v>1</v>
      </c>
      <c r="N18" s="11">
        <f t="shared" si="3"/>
        <v>75743.16</v>
      </c>
      <c r="O18" s="11">
        <f t="shared" si="5"/>
        <v>7574.3160000000007</v>
      </c>
      <c r="P18" s="97">
        <f t="shared" si="8"/>
        <v>1</v>
      </c>
      <c r="Q18" s="9">
        <v>40</v>
      </c>
      <c r="R18" s="11">
        <f t="shared" si="4"/>
        <v>7078.8</v>
      </c>
      <c r="S18" s="87"/>
      <c r="T18" s="9"/>
      <c r="U18" s="11"/>
      <c r="V18" s="11"/>
      <c r="W18" s="11"/>
      <c r="X18" s="98"/>
      <c r="Y18" s="11"/>
      <c r="Z18" s="11"/>
      <c r="AA18" s="11"/>
      <c r="AB18" s="11">
        <f t="shared" si="6"/>
        <v>14653.116000000002</v>
      </c>
      <c r="AC18" s="11">
        <f t="shared" si="7"/>
        <v>90396.276000000013</v>
      </c>
    </row>
    <row r="19" spans="1:29" s="80" customFormat="1" ht="25.5" x14ac:dyDescent="0.2">
      <c r="A19" s="120">
        <v>9</v>
      </c>
      <c r="B19" s="116" t="s">
        <v>52</v>
      </c>
      <c r="C19" s="9" t="s">
        <v>54</v>
      </c>
      <c r="D19" s="120" t="s">
        <v>96</v>
      </c>
      <c r="E19" s="9" t="s">
        <v>53</v>
      </c>
      <c r="F19" s="9" t="s">
        <v>98</v>
      </c>
      <c r="G19" s="9">
        <v>4.5199999999999996</v>
      </c>
      <c r="H19" s="120">
        <v>17697</v>
      </c>
      <c r="I19" s="11">
        <f t="shared" si="0"/>
        <v>79990.439999999988</v>
      </c>
      <c r="J19" s="11"/>
      <c r="K19" s="11">
        <f t="shared" si="1"/>
        <v>79990.439999999988</v>
      </c>
      <c r="L19" s="120">
        <v>25</v>
      </c>
      <c r="M19" s="87">
        <f t="shared" si="2"/>
        <v>1</v>
      </c>
      <c r="N19" s="11">
        <f t="shared" si="3"/>
        <v>79990.439999999988</v>
      </c>
      <c r="O19" s="11">
        <f t="shared" si="5"/>
        <v>7999.043999999999</v>
      </c>
      <c r="P19" s="97">
        <f t="shared" si="8"/>
        <v>1</v>
      </c>
      <c r="Q19" s="9">
        <v>40</v>
      </c>
      <c r="R19" s="11">
        <f t="shared" si="4"/>
        <v>7078.8</v>
      </c>
      <c r="S19" s="87"/>
      <c r="T19" s="9"/>
      <c r="U19" s="11"/>
      <c r="V19" s="11"/>
      <c r="W19" s="11"/>
      <c r="X19" s="98"/>
      <c r="Y19" s="11"/>
      <c r="Z19" s="11"/>
      <c r="AA19" s="11"/>
      <c r="AB19" s="11">
        <f t="shared" si="6"/>
        <v>15077.843999999999</v>
      </c>
      <c r="AC19" s="11">
        <f t="shared" si="7"/>
        <v>95068.283999999985</v>
      </c>
    </row>
    <row r="20" spans="1:29" s="80" customFormat="1" x14ac:dyDescent="0.2">
      <c r="A20" s="120">
        <v>10</v>
      </c>
      <c r="B20" s="116" t="s">
        <v>52</v>
      </c>
      <c r="C20" s="100" t="s">
        <v>54</v>
      </c>
      <c r="D20" s="102" t="s">
        <v>193</v>
      </c>
      <c r="E20" s="120" t="s">
        <v>81</v>
      </c>
      <c r="F20" s="9" t="s">
        <v>97</v>
      </c>
      <c r="G20" s="87">
        <v>3.45</v>
      </c>
      <c r="H20" s="120">
        <v>17697</v>
      </c>
      <c r="I20" s="11">
        <f>(H20*G20)</f>
        <v>61054.65</v>
      </c>
      <c r="J20" s="11"/>
      <c r="K20" s="11">
        <f>I20+J20</f>
        <v>61054.65</v>
      </c>
      <c r="L20" s="120">
        <v>25</v>
      </c>
      <c r="M20" s="87">
        <f>L20/25</f>
        <v>1</v>
      </c>
      <c r="N20" s="11">
        <f t="shared" si="3"/>
        <v>61054.65</v>
      </c>
      <c r="O20" s="11">
        <f t="shared" si="5"/>
        <v>6105.4650000000001</v>
      </c>
      <c r="P20" s="97">
        <f>M20</f>
        <v>1</v>
      </c>
      <c r="Q20" s="9">
        <v>40</v>
      </c>
      <c r="R20" s="11">
        <f t="shared" si="4"/>
        <v>7078.8</v>
      </c>
      <c r="S20" s="87"/>
      <c r="T20" s="9"/>
      <c r="U20" s="11"/>
      <c r="V20" s="11"/>
      <c r="W20" s="11"/>
      <c r="X20" s="98"/>
      <c r="Y20" s="11"/>
      <c r="Z20" s="11"/>
      <c r="AA20" s="11"/>
      <c r="AB20" s="11">
        <f t="shared" si="6"/>
        <v>13184.264999999999</v>
      </c>
      <c r="AC20" s="11">
        <f t="shared" si="7"/>
        <v>74238.915000000008</v>
      </c>
    </row>
    <row r="21" spans="1:29" s="80" customFormat="1" x14ac:dyDescent="0.2">
      <c r="A21" s="120">
        <v>11</v>
      </c>
      <c r="B21" s="116" t="s">
        <v>52</v>
      </c>
      <c r="C21" s="9" t="s">
        <v>54</v>
      </c>
      <c r="D21" s="9" t="s">
        <v>217</v>
      </c>
      <c r="E21" s="9" t="s">
        <v>81</v>
      </c>
      <c r="F21" s="9" t="s">
        <v>97</v>
      </c>
      <c r="G21" s="9">
        <v>3.45</v>
      </c>
      <c r="H21" s="120">
        <v>17697</v>
      </c>
      <c r="I21" s="11">
        <f>(H21*G21)</f>
        <v>61054.65</v>
      </c>
      <c r="J21" s="11"/>
      <c r="K21" s="11">
        <f>I21+J21</f>
        <v>61054.65</v>
      </c>
      <c r="L21" s="120">
        <v>25</v>
      </c>
      <c r="M21" s="87">
        <f>L21/25</f>
        <v>1</v>
      </c>
      <c r="N21" s="11">
        <f>K21*M21</f>
        <v>61054.65</v>
      </c>
      <c r="O21" s="11">
        <f t="shared" si="5"/>
        <v>6105.4650000000001</v>
      </c>
      <c r="P21" s="97">
        <f>M21</f>
        <v>1</v>
      </c>
      <c r="Q21" s="9">
        <v>40</v>
      </c>
      <c r="R21" s="11">
        <f t="shared" si="4"/>
        <v>7078.8</v>
      </c>
      <c r="S21" s="87"/>
      <c r="T21" s="9"/>
      <c r="U21" s="11"/>
      <c r="V21" s="278"/>
      <c r="W21" s="276"/>
      <c r="X21" s="279"/>
      <c r="Y21" s="278"/>
      <c r="Z21" s="276"/>
      <c r="AA21" s="279"/>
      <c r="AB21" s="11">
        <f t="shared" si="6"/>
        <v>13184.264999999999</v>
      </c>
      <c r="AC21" s="11">
        <f t="shared" si="7"/>
        <v>74238.915000000008</v>
      </c>
    </row>
    <row r="22" spans="1:29" s="80" customFormat="1" x14ac:dyDescent="0.2">
      <c r="A22" s="120">
        <v>12</v>
      </c>
      <c r="B22" s="101" t="s">
        <v>52</v>
      </c>
      <c r="C22" s="9" t="s">
        <v>51</v>
      </c>
      <c r="D22" s="100" t="s">
        <v>199</v>
      </c>
      <c r="E22" s="9">
        <v>1</v>
      </c>
      <c r="F22" s="9" t="s">
        <v>99</v>
      </c>
      <c r="G22" s="120">
        <v>4.16</v>
      </c>
      <c r="H22" s="120">
        <v>17697</v>
      </c>
      <c r="I22" s="11">
        <f t="shared" si="0"/>
        <v>73619.520000000004</v>
      </c>
      <c r="J22" s="11"/>
      <c r="K22" s="11">
        <f t="shared" si="1"/>
        <v>73619.520000000004</v>
      </c>
      <c r="L22" s="120">
        <v>25</v>
      </c>
      <c r="M22" s="87">
        <f t="shared" si="2"/>
        <v>1</v>
      </c>
      <c r="N22" s="11">
        <f t="shared" si="3"/>
        <v>73619.520000000004</v>
      </c>
      <c r="O22" s="11">
        <f t="shared" si="5"/>
        <v>7361.9520000000011</v>
      </c>
      <c r="P22" s="97">
        <f t="shared" si="8"/>
        <v>1</v>
      </c>
      <c r="Q22" s="9">
        <v>40</v>
      </c>
      <c r="R22" s="11">
        <f t="shared" si="4"/>
        <v>7078.8</v>
      </c>
      <c r="S22" s="87"/>
      <c r="T22" s="9"/>
      <c r="U22" s="11"/>
      <c r="V22" s="103"/>
      <c r="W22" s="11"/>
      <c r="X22" s="98"/>
      <c r="Y22" s="11"/>
      <c r="Z22" s="11"/>
      <c r="AA22" s="11"/>
      <c r="AB22" s="11">
        <f t="shared" si="6"/>
        <v>14440.752</v>
      </c>
      <c r="AC22" s="11">
        <f t="shared" si="7"/>
        <v>88060.271999999997</v>
      </c>
    </row>
    <row r="23" spans="1:29" s="80" customFormat="1" ht="25.5" x14ac:dyDescent="0.2">
      <c r="A23" s="120">
        <v>13</v>
      </c>
      <c r="B23" s="116" t="s">
        <v>52</v>
      </c>
      <c r="C23" s="9" t="s">
        <v>51</v>
      </c>
      <c r="D23" s="120" t="s">
        <v>96</v>
      </c>
      <c r="E23" s="9" t="s">
        <v>53</v>
      </c>
      <c r="F23" s="9" t="s">
        <v>102</v>
      </c>
      <c r="G23" s="97">
        <v>4.75</v>
      </c>
      <c r="H23" s="120">
        <v>17697</v>
      </c>
      <c r="I23" s="11">
        <f t="shared" si="0"/>
        <v>84060.75</v>
      </c>
      <c r="J23" s="11"/>
      <c r="K23" s="11">
        <f t="shared" si="1"/>
        <v>84060.75</v>
      </c>
      <c r="L23" s="120">
        <v>25</v>
      </c>
      <c r="M23" s="87">
        <f t="shared" si="2"/>
        <v>1</v>
      </c>
      <c r="N23" s="11">
        <f t="shared" si="3"/>
        <v>84060.75</v>
      </c>
      <c r="O23" s="11">
        <f t="shared" si="5"/>
        <v>8406.0750000000007</v>
      </c>
      <c r="P23" s="97">
        <f t="shared" si="8"/>
        <v>1</v>
      </c>
      <c r="Q23" s="9">
        <v>40</v>
      </c>
      <c r="R23" s="11">
        <f t="shared" si="4"/>
        <v>7078.8</v>
      </c>
      <c r="S23" s="87"/>
      <c r="T23" s="9"/>
      <c r="U23" s="11"/>
      <c r="V23" s="11"/>
      <c r="W23" s="11"/>
      <c r="X23" s="98"/>
      <c r="Y23" s="11"/>
      <c r="Z23" s="11"/>
      <c r="AA23" s="11"/>
      <c r="AB23" s="11">
        <f t="shared" si="6"/>
        <v>15484.875</v>
      </c>
      <c r="AC23" s="11">
        <f t="shared" si="7"/>
        <v>99545.625</v>
      </c>
    </row>
    <row r="24" spans="1:29" s="80" customFormat="1" x14ac:dyDescent="0.2">
      <c r="A24" s="120">
        <v>14</v>
      </c>
      <c r="B24" s="116" t="s">
        <v>52</v>
      </c>
      <c r="C24" s="120" t="s">
        <v>51</v>
      </c>
      <c r="D24" s="9" t="s">
        <v>218</v>
      </c>
      <c r="E24" s="9">
        <v>2</v>
      </c>
      <c r="F24" s="9" t="s">
        <v>100</v>
      </c>
      <c r="G24" s="275">
        <v>4.07</v>
      </c>
      <c r="H24" s="120">
        <v>17697</v>
      </c>
      <c r="I24" s="11">
        <f t="shared" ref="I24" si="18">(H24*G24)</f>
        <v>72026.790000000008</v>
      </c>
      <c r="J24" s="11"/>
      <c r="K24" s="11">
        <f t="shared" ref="K24" si="19">I24+J24</f>
        <v>72026.790000000008</v>
      </c>
      <c r="L24" s="120">
        <v>25</v>
      </c>
      <c r="M24" s="87">
        <f t="shared" ref="M24" si="20">L24/25</f>
        <v>1</v>
      </c>
      <c r="N24" s="11">
        <f t="shared" si="3"/>
        <v>72026.790000000008</v>
      </c>
      <c r="O24" s="11">
        <f t="shared" si="5"/>
        <v>7202.679000000001</v>
      </c>
      <c r="P24" s="97">
        <f t="shared" ref="P24" si="21">M24</f>
        <v>1</v>
      </c>
      <c r="Q24" s="9">
        <v>40</v>
      </c>
      <c r="R24" s="11">
        <f t="shared" si="4"/>
        <v>7078.8</v>
      </c>
      <c r="S24" s="87"/>
      <c r="T24" s="9"/>
      <c r="U24" s="11"/>
      <c r="V24" s="11"/>
      <c r="W24" s="11"/>
      <c r="X24" s="98"/>
      <c r="Y24" s="11"/>
      <c r="Z24" s="11"/>
      <c r="AA24" s="11"/>
      <c r="AB24" s="11">
        <f t="shared" si="6"/>
        <v>14281.479000000001</v>
      </c>
      <c r="AC24" s="11">
        <f t="shared" si="7"/>
        <v>86308.269000000015</v>
      </c>
    </row>
    <row r="25" spans="1:29" s="80" customFormat="1" ht="25.5" x14ac:dyDescent="0.2">
      <c r="A25" s="120">
        <v>15</v>
      </c>
      <c r="B25" s="116" t="s">
        <v>52</v>
      </c>
      <c r="C25" s="9" t="s">
        <v>51</v>
      </c>
      <c r="D25" s="120" t="s">
        <v>96</v>
      </c>
      <c r="E25" s="9" t="s">
        <v>81</v>
      </c>
      <c r="F25" s="9" t="s">
        <v>101</v>
      </c>
      <c r="G25" s="9">
        <v>4.1900000000000004</v>
      </c>
      <c r="H25" s="120">
        <v>17697</v>
      </c>
      <c r="I25" s="11">
        <f>(H25*G25)</f>
        <v>74150.430000000008</v>
      </c>
      <c r="J25" s="11"/>
      <c r="K25" s="11">
        <f t="shared" si="1"/>
        <v>74150.430000000008</v>
      </c>
      <c r="L25" s="120">
        <v>25</v>
      </c>
      <c r="M25" s="87">
        <f t="shared" si="2"/>
        <v>1</v>
      </c>
      <c r="N25" s="11">
        <f t="shared" si="3"/>
        <v>74150.430000000008</v>
      </c>
      <c r="O25" s="11">
        <f t="shared" si="5"/>
        <v>7415.0430000000015</v>
      </c>
      <c r="P25" s="97">
        <f t="shared" si="8"/>
        <v>1</v>
      </c>
      <c r="Q25" s="9">
        <v>40</v>
      </c>
      <c r="R25" s="11">
        <f t="shared" si="4"/>
        <v>7078.8</v>
      </c>
      <c r="S25" s="87"/>
      <c r="T25" s="9"/>
      <c r="U25" s="11"/>
      <c r="V25" s="11"/>
      <c r="W25" s="11"/>
      <c r="X25" s="98"/>
      <c r="Y25" s="11"/>
      <c r="Z25" s="11"/>
      <c r="AA25" s="11"/>
      <c r="AB25" s="11">
        <f t="shared" si="6"/>
        <v>14493.843000000001</v>
      </c>
      <c r="AC25" s="11">
        <f t="shared" si="7"/>
        <v>88644.273000000016</v>
      </c>
    </row>
    <row r="26" spans="1:29" s="80" customFormat="1" ht="25.5" x14ac:dyDescent="0.2">
      <c r="A26" s="120">
        <v>16</v>
      </c>
      <c r="B26" s="116" t="s">
        <v>52</v>
      </c>
      <c r="C26" s="9" t="s">
        <v>51</v>
      </c>
      <c r="D26" s="120" t="s">
        <v>96</v>
      </c>
      <c r="E26" s="9">
        <v>2</v>
      </c>
      <c r="F26" s="9" t="s">
        <v>100</v>
      </c>
      <c r="G26" s="120">
        <v>4.5</v>
      </c>
      <c r="H26" s="120">
        <v>17697</v>
      </c>
      <c r="I26" s="11">
        <f t="shared" si="0"/>
        <v>79636.5</v>
      </c>
      <c r="J26" s="11"/>
      <c r="K26" s="11">
        <f t="shared" si="1"/>
        <v>79636.5</v>
      </c>
      <c r="L26" s="120">
        <v>25</v>
      </c>
      <c r="M26" s="87">
        <f t="shared" si="2"/>
        <v>1</v>
      </c>
      <c r="N26" s="11">
        <f t="shared" si="3"/>
        <v>79636.5</v>
      </c>
      <c r="O26" s="11">
        <f t="shared" si="5"/>
        <v>7963.6500000000005</v>
      </c>
      <c r="P26" s="97">
        <f t="shared" si="8"/>
        <v>1</v>
      </c>
      <c r="Q26" s="9">
        <v>40</v>
      </c>
      <c r="R26" s="11">
        <f t="shared" si="4"/>
        <v>7078.8</v>
      </c>
      <c r="S26" s="87"/>
      <c r="T26" s="9"/>
      <c r="U26" s="11"/>
      <c r="V26" s="11"/>
      <c r="W26" s="11"/>
      <c r="X26" s="98"/>
      <c r="Y26" s="11"/>
      <c r="Z26" s="11"/>
      <c r="AA26" s="11"/>
      <c r="AB26" s="11">
        <f t="shared" si="6"/>
        <v>15042.45</v>
      </c>
      <c r="AC26" s="11">
        <f t="shared" si="7"/>
        <v>94678.95</v>
      </c>
    </row>
    <row r="27" spans="1:29" s="80" customFormat="1" x14ac:dyDescent="0.2">
      <c r="A27" s="120">
        <v>17</v>
      </c>
      <c r="B27" s="116" t="s">
        <v>52</v>
      </c>
      <c r="C27" s="9" t="s">
        <v>51</v>
      </c>
      <c r="D27" s="9" t="s">
        <v>219</v>
      </c>
      <c r="E27" s="9">
        <v>1</v>
      </c>
      <c r="F27" s="9" t="s">
        <v>99</v>
      </c>
      <c r="G27" s="87">
        <v>4.4400000000000004</v>
      </c>
      <c r="H27" s="120">
        <v>17697</v>
      </c>
      <c r="I27" s="11">
        <f>(H27*G27)</f>
        <v>78574.680000000008</v>
      </c>
      <c r="J27" s="11"/>
      <c r="K27" s="11">
        <f>I27+J27</f>
        <v>78574.680000000008</v>
      </c>
      <c r="L27" s="120">
        <v>37.5</v>
      </c>
      <c r="M27" s="87">
        <f>L27/25</f>
        <v>1.5</v>
      </c>
      <c r="N27" s="276">
        <f t="shared" si="3"/>
        <v>117862.02000000002</v>
      </c>
      <c r="O27" s="11">
        <f t="shared" si="5"/>
        <v>11786.202000000001</v>
      </c>
      <c r="P27" s="97">
        <f>M27</f>
        <v>1.5</v>
      </c>
      <c r="Q27" s="9">
        <v>40</v>
      </c>
      <c r="R27" s="11">
        <f t="shared" si="4"/>
        <v>10618.2</v>
      </c>
      <c r="S27" s="87"/>
      <c r="T27" s="9"/>
      <c r="U27" s="11"/>
      <c r="V27" s="11"/>
      <c r="W27" s="11"/>
      <c r="X27" s="98"/>
      <c r="Y27" s="11"/>
      <c r="Z27" s="11"/>
      <c r="AA27" s="11"/>
      <c r="AB27" s="11">
        <f t="shared" si="6"/>
        <v>22404.402000000002</v>
      </c>
      <c r="AC27" s="11">
        <f t="shared" si="7"/>
        <v>140266.42200000002</v>
      </c>
    </row>
    <row r="28" spans="1:29" s="80" customFormat="1" x14ac:dyDescent="0.2">
      <c r="A28" s="120">
        <v>18</v>
      </c>
      <c r="B28" s="116" t="s">
        <v>52</v>
      </c>
      <c r="C28" s="9" t="s">
        <v>51</v>
      </c>
      <c r="D28" s="9" t="s">
        <v>202</v>
      </c>
      <c r="E28" s="9">
        <v>1</v>
      </c>
      <c r="F28" s="9" t="s">
        <v>99</v>
      </c>
      <c r="G28" s="120">
        <v>4.2300000000000004</v>
      </c>
      <c r="H28" s="120">
        <v>17697</v>
      </c>
      <c r="I28" s="11">
        <f t="shared" si="0"/>
        <v>74858.310000000012</v>
      </c>
      <c r="J28" s="11"/>
      <c r="K28" s="11">
        <f t="shared" si="1"/>
        <v>74858.310000000012</v>
      </c>
      <c r="L28" s="120">
        <v>37.5</v>
      </c>
      <c r="M28" s="87">
        <f t="shared" si="2"/>
        <v>1.5</v>
      </c>
      <c r="N28" s="11">
        <f t="shared" si="3"/>
        <v>112287.46500000003</v>
      </c>
      <c r="O28" s="11">
        <f t="shared" si="5"/>
        <v>11228.746500000003</v>
      </c>
      <c r="P28" s="97">
        <f t="shared" ref="P28:P30" si="22">M28</f>
        <v>1.5</v>
      </c>
      <c r="Q28" s="9">
        <v>40</v>
      </c>
      <c r="R28" s="11">
        <f t="shared" si="4"/>
        <v>10618.2</v>
      </c>
      <c r="S28" s="87"/>
      <c r="T28" s="9"/>
      <c r="U28" s="11"/>
      <c r="V28" s="11"/>
      <c r="W28" s="11"/>
      <c r="X28" s="98"/>
      <c r="Y28" s="11"/>
      <c r="Z28" s="11"/>
      <c r="AA28" s="11"/>
      <c r="AB28" s="11">
        <f t="shared" si="6"/>
        <v>21846.946500000005</v>
      </c>
      <c r="AC28" s="11">
        <f t="shared" si="7"/>
        <v>134134.41150000005</v>
      </c>
    </row>
    <row r="29" spans="1:29" s="80" customFormat="1" x14ac:dyDescent="0.2">
      <c r="A29" s="120">
        <v>19</v>
      </c>
      <c r="B29" s="101" t="s">
        <v>52</v>
      </c>
      <c r="C29" s="100" t="s">
        <v>51</v>
      </c>
      <c r="D29" s="120" t="s">
        <v>220</v>
      </c>
      <c r="E29" s="9" t="s">
        <v>81</v>
      </c>
      <c r="F29" s="9" t="s">
        <v>101</v>
      </c>
      <c r="G29" s="120">
        <v>3.78</v>
      </c>
      <c r="H29" s="120">
        <v>17697</v>
      </c>
      <c r="I29" s="11">
        <f>(H29*G29)</f>
        <v>66894.66</v>
      </c>
      <c r="J29" s="11"/>
      <c r="K29" s="11">
        <f t="shared" si="1"/>
        <v>66894.66</v>
      </c>
      <c r="L29" s="120">
        <v>37.5</v>
      </c>
      <c r="M29" s="87">
        <f t="shared" si="2"/>
        <v>1.5</v>
      </c>
      <c r="N29" s="11">
        <f t="shared" si="3"/>
        <v>100341.99</v>
      </c>
      <c r="O29" s="11">
        <f t="shared" si="5"/>
        <v>10034.199000000001</v>
      </c>
      <c r="P29" s="97">
        <f t="shared" si="22"/>
        <v>1.5</v>
      </c>
      <c r="Q29" s="9">
        <v>40</v>
      </c>
      <c r="R29" s="11">
        <f t="shared" si="4"/>
        <v>10618.2</v>
      </c>
      <c r="S29" s="87"/>
      <c r="T29" s="9"/>
      <c r="U29" s="11"/>
      <c r="V29" s="103">
        <f>P29</f>
        <v>1.5</v>
      </c>
      <c r="W29" s="11">
        <v>50</v>
      </c>
      <c r="X29" s="98">
        <f>K29/103.45*50%*8*15</f>
        <v>38798.256162397294</v>
      </c>
      <c r="Y29" s="103">
        <f>P29</f>
        <v>1.5</v>
      </c>
      <c r="Z29" s="11">
        <v>50</v>
      </c>
      <c r="AA29" s="98">
        <f>K29/103.45*50%*9</f>
        <v>2909.8692121797972</v>
      </c>
      <c r="AB29" s="11">
        <f t="shared" si="6"/>
        <v>62360.524374577093</v>
      </c>
      <c r="AC29" s="11">
        <f t="shared" si="7"/>
        <v>162702.51437457709</v>
      </c>
    </row>
    <row r="30" spans="1:29" s="80" customFormat="1" x14ac:dyDescent="0.2">
      <c r="A30" s="120">
        <v>21</v>
      </c>
      <c r="B30" s="116" t="s">
        <v>52</v>
      </c>
      <c r="C30" s="9" t="s">
        <v>51</v>
      </c>
      <c r="D30" s="9" t="s">
        <v>221</v>
      </c>
      <c r="E30" s="9">
        <v>1</v>
      </c>
      <c r="F30" s="9" t="s">
        <v>99</v>
      </c>
      <c r="G30" s="87">
        <v>4.37</v>
      </c>
      <c r="H30" s="120">
        <v>17697</v>
      </c>
      <c r="I30" s="11">
        <f t="shared" si="0"/>
        <v>77335.89</v>
      </c>
      <c r="J30" s="11"/>
      <c r="K30" s="11">
        <f t="shared" si="1"/>
        <v>77335.89</v>
      </c>
      <c r="L30" s="120">
        <v>25</v>
      </c>
      <c r="M30" s="87">
        <f t="shared" si="2"/>
        <v>1</v>
      </c>
      <c r="N30" s="11">
        <f t="shared" si="3"/>
        <v>77335.89</v>
      </c>
      <c r="O30" s="11">
        <f t="shared" si="5"/>
        <v>7733.5889999999999</v>
      </c>
      <c r="P30" s="97">
        <f t="shared" si="22"/>
        <v>1</v>
      </c>
      <c r="Q30" s="9">
        <v>40</v>
      </c>
      <c r="R30" s="11">
        <f t="shared" si="4"/>
        <v>7078.8</v>
      </c>
      <c r="S30" s="87"/>
      <c r="T30" s="9"/>
      <c r="U30" s="11"/>
      <c r="V30" s="11"/>
      <c r="W30" s="11"/>
      <c r="X30" s="98"/>
      <c r="Y30" s="11"/>
      <c r="Z30" s="11"/>
      <c r="AA30" s="11"/>
      <c r="AB30" s="11">
        <f t="shared" si="6"/>
        <v>14812.388999999999</v>
      </c>
      <c r="AC30" s="11">
        <f t="shared" si="7"/>
        <v>92148.278999999995</v>
      </c>
    </row>
    <row r="31" spans="1:29" s="80" customFormat="1" x14ac:dyDescent="0.2">
      <c r="A31" s="120">
        <v>22</v>
      </c>
      <c r="B31" s="101" t="s">
        <v>52</v>
      </c>
      <c r="C31" s="100" t="s">
        <v>51</v>
      </c>
      <c r="D31" s="120" t="s">
        <v>222</v>
      </c>
      <c r="E31" s="9" t="s">
        <v>81</v>
      </c>
      <c r="F31" s="9" t="s">
        <v>101</v>
      </c>
      <c r="G31" s="120">
        <v>3.58</v>
      </c>
      <c r="H31" s="120">
        <v>17697</v>
      </c>
      <c r="I31" s="11">
        <f>(H31*G31)</f>
        <v>63355.26</v>
      </c>
      <c r="J31" s="11"/>
      <c r="K31" s="11">
        <f>I31+J31</f>
        <v>63355.26</v>
      </c>
      <c r="L31" s="120">
        <v>37.5</v>
      </c>
      <c r="M31" s="87">
        <f>L31/25</f>
        <v>1.5</v>
      </c>
      <c r="N31" s="11">
        <f>K31*M31</f>
        <v>95032.89</v>
      </c>
      <c r="O31" s="11">
        <f t="shared" si="5"/>
        <v>9503.2890000000007</v>
      </c>
      <c r="P31" s="97">
        <f>M31</f>
        <v>1.5</v>
      </c>
      <c r="Q31" s="9">
        <v>40</v>
      </c>
      <c r="R31" s="11">
        <f t="shared" si="4"/>
        <v>10618.2</v>
      </c>
      <c r="S31" s="87"/>
      <c r="T31" s="9"/>
      <c r="U31" s="11"/>
      <c r="V31" s="11"/>
      <c r="W31" s="11"/>
      <c r="X31" s="98"/>
      <c r="Y31" s="11"/>
      <c r="Z31" s="11"/>
      <c r="AA31" s="11"/>
      <c r="AB31" s="11">
        <f t="shared" si="6"/>
        <v>20121.489000000001</v>
      </c>
      <c r="AC31" s="11">
        <f t="shared" si="7"/>
        <v>115154.379</v>
      </c>
    </row>
    <row r="32" spans="1:29" s="80" customFormat="1" x14ac:dyDescent="0.2">
      <c r="A32" s="120">
        <v>23</v>
      </c>
      <c r="B32" s="116" t="s">
        <v>52</v>
      </c>
      <c r="C32" s="9" t="s">
        <v>51</v>
      </c>
      <c r="D32" s="176" t="s">
        <v>217</v>
      </c>
      <c r="E32" s="9">
        <v>2</v>
      </c>
      <c r="F32" s="9" t="s">
        <v>100</v>
      </c>
      <c r="G32" s="120">
        <v>4</v>
      </c>
      <c r="H32" s="120">
        <v>17697</v>
      </c>
      <c r="I32" s="11">
        <f>(H32*G32)</f>
        <v>70788</v>
      </c>
      <c r="J32" s="11"/>
      <c r="K32" s="11">
        <f>I32+J32</f>
        <v>70788</v>
      </c>
      <c r="L32" s="120">
        <v>37.5</v>
      </c>
      <c r="M32" s="87">
        <f>L32/25</f>
        <v>1.5</v>
      </c>
      <c r="N32" s="11">
        <f>K32*M32</f>
        <v>106182</v>
      </c>
      <c r="O32" s="11">
        <f t="shared" si="5"/>
        <v>10618.2</v>
      </c>
      <c r="P32" s="97">
        <f>M32</f>
        <v>1.5</v>
      </c>
      <c r="Q32" s="9">
        <v>40</v>
      </c>
      <c r="R32" s="11">
        <f>17697*P32*Q32/100</f>
        <v>10618.2</v>
      </c>
      <c r="S32" s="87"/>
      <c r="T32" s="9"/>
      <c r="U32" s="11"/>
      <c r="V32" s="278"/>
      <c r="W32" s="276"/>
      <c r="X32" s="279"/>
      <c r="Y32" s="278"/>
      <c r="Z32" s="276"/>
      <c r="AA32" s="279"/>
      <c r="AB32" s="11">
        <f>AA32+X32+U32+R32+O32</f>
        <v>21236.400000000001</v>
      </c>
      <c r="AC32" s="11">
        <f>AB32+N32</f>
        <v>127418.4</v>
      </c>
    </row>
    <row r="33" spans="1:29" s="78" customFormat="1" x14ac:dyDescent="0.2">
      <c r="A33" s="109"/>
      <c r="B33" s="12" t="s">
        <v>25</v>
      </c>
      <c r="C33" s="16" t="s">
        <v>25</v>
      </c>
      <c r="D33" s="16" t="s">
        <v>25</v>
      </c>
      <c r="E33" s="16" t="s">
        <v>25</v>
      </c>
      <c r="F33" s="16" t="s">
        <v>25</v>
      </c>
      <c r="G33" s="16" t="s">
        <v>25</v>
      </c>
      <c r="H33" s="95"/>
      <c r="I33" s="14"/>
      <c r="J33" s="14">
        <f>SUM(J11:J31)</f>
        <v>0</v>
      </c>
      <c r="K33" s="13">
        <f t="shared" ref="K33:P33" si="23">SUM(K11:K32)</f>
        <v>1585828.17</v>
      </c>
      <c r="L33" s="14">
        <f t="shared" si="23"/>
        <v>650</v>
      </c>
      <c r="M33" s="14">
        <f t="shared" si="23"/>
        <v>26</v>
      </c>
      <c r="N33" s="13">
        <f t="shared" si="23"/>
        <v>1872873.5099999998</v>
      </c>
      <c r="O33" s="13">
        <f>SUM(O11:O32)</f>
        <v>187287.351</v>
      </c>
      <c r="P33" s="14">
        <f t="shared" si="23"/>
        <v>26</v>
      </c>
      <c r="Q33" s="13"/>
      <c r="R33" s="13">
        <f>SUM(R11:R32)</f>
        <v>184048.80000000008</v>
      </c>
      <c r="S33" s="14">
        <f>SUM(S11:S31)</f>
        <v>0</v>
      </c>
      <c r="T33" s="14">
        <f>SUM(T11:T31)</f>
        <v>0</v>
      </c>
      <c r="U33" s="14">
        <f>SUM(U11:U31)</f>
        <v>0</v>
      </c>
      <c r="V33" s="14">
        <f>SUM(V11:V32)</f>
        <v>3</v>
      </c>
      <c r="W33" s="14"/>
      <c r="X33" s="13">
        <f>SUM(X11:X32)</f>
        <v>80470.457225712904</v>
      </c>
      <c r="Y33" s="14">
        <f>SUM(Y11:Y32)</f>
        <v>3</v>
      </c>
      <c r="Z33" s="14"/>
      <c r="AA33" s="13">
        <f>SUM(AA11:AA32)</f>
        <v>6035.2842919284676</v>
      </c>
      <c r="AB33" s="13">
        <f>SUM(AB11:AB32)</f>
        <v>457841.89251764154</v>
      </c>
      <c r="AC33" s="13">
        <f>SUM(AC11:AC32)+62167</f>
        <v>2392882.4025176419</v>
      </c>
    </row>
    <row r="34" spans="1:29" s="78" customFormat="1" x14ac:dyDescent="0.2">
      <c r="A34" s="110"/>
      <c r="B34" s="73"/>
      <c r="C34" s="96"/>
      <c r="D34" s="96"/>
      <c r="E34" s="96"/>
      <c r="F34" s="96"/>
      <c r="G34" s="96"/>
      <c r="H34" s="76"/>
      <c r="I34" s="60"/>
      <c r="J34" s="60"/>
      <c r="K34" s="60"/>
      <c r="L34" s="61"/>
      <c r="M34" s="61"/>
      <c r="N34" s="60"/>
      <c r="O34" s="60"/>
      <c r="P34" s="60"/>
      <c r="Q34" s="61"/>
      <c r="R34" s="62"/>
      <c r="S34" s="61"/>
      <c r="T34" s="61"/>
      <c r="U34" s="62"/>
      <c r="V34" s="61"/>
      <c r="W34" s="61"/>
      <c r="X34" s="62"/>
      <c r="Y34" s="61"/>
      <c r="Z34" s="61"/>
      <c r="AA34" s="62"/>
      <c r="AB34" s="62"/>
      <c r="AC34" s="62"/>
    </row>
    <row r="35" spans="1:29" s="78" customFormat="1" x14ac:dyDescent="0.2">
      <c r="A35" s="110"/>
      <c r="B35" s="73"/>
      <c r="C35" s="96"/>
      <c r="D35" s="96"/>
      <c r="E35" s="96"/>
      <c r="F35" s="96"/>
      <c r="G35" s="96"/>
      <c r="H35" s="76"/>
      <c r="I35" s="60"/>
      <c r="J35" s="60"/>
      <c r="K35" s="60"/>
      <c r="L35" s="61"/>
      <c r="M35" s="61"/>
      <c r="N35" s="60"/>
      <c r="O35" s="60"/>
      <c r="P35" s="60"/>
      <c r="Q35" s="61"/>
      <c r="R35" s="62"/>
      <c r="S35" s="61"/>
      <c r="T35" s="61"/>
      <c r="U35" s="62"/>
      <c r="V35" s="61"/>
      <c r="W35" s="61"/>
      <c r="X35" s="62"/>
      <c r="Y35" s="61"/>
      <c r="Z35" s="61"/>
      <c r="AA35" s="62"/>
      <c r="AB35" s="62"/>
      <c r="AC35" s="62"/>
    </row>
    <row r="36" spans="1:29" s="111" customFormat="1" ht="19.5" customHeight="1" x14ac:dyDescent="0.25">
      <c r="B36" s="29"/>
      <c r="C36" s="255" t="s">
        <v>19</v>
      </c>
      <c r="D36" s="94"/>
      <c r="E36" s="94"/>
      <c r="F36" s="93"/>
      <c r="G36" s="93"/>
      <c r="H36" s="298" t="s">
        <v>88</v>
      </c>
      <c r="I36" s="298"/>
      <c r="J36" s="298"/>
      <c r="K36" s="30"/>
      <c r="L36" s="30"/>
      <c r="M36" s="30"/>
      <c r="N36" s="30"/>
      <c r="O36" s="93"/>
      <c r="P36" s="93"/>
      <c r="Q36" s="30"/>
      <c r="R36" s="31"/>
      <c r="S36" s="30"/>
      <c r="T36" s="30"/>
      <c r="U36" s="93"/>
      <c r="V36" s="93"/>
      <c r="W36" s="30"/>
      <c r="X36" s="93"/>
      <c r="Y36" s="93"/>
      <c r="Z36" s="93"/>
      <c r="AA36" s="93"/>
      <c r="AB36" s="30"/>
      <c r="AC36" s="30"/>
    </row>
    <row r="37" spans="1:29" s="106" customFormat="1" ht="19.5" customHeight="1" x14ac:dyDescent="0.25">
      <c r="B37" s="20"/>
      <c r="C37" s="51"/>
      <c r="D37" s="299" t="s">
        <v>29</v>
      </c>
      <c r="E37" s="299"/>
      <c r="F37" s="17"/>
      <c r="G37" s="17"/>
      <c r="H37" s="299" t="s">
        <v>30</v>
      </c>
      <c r="I37" s="299"/>
      <c r="J37" s="299"/>
      <c r="K37" s="17"/>
      <c r="L37" s="17"/>
      <c r="M37" s="17"/>
      <c r="N37" s="17"/>
      <c r="O37" s="17"/>
      <c r="P37" s="17"/>
      <c r="Q37" s="28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</row>
    <row r="38" spans="1:29" s="105" customFormat="1" ht="19.5" customHeight="1" x14ac:dyDescent="0.2">
      <c r="B38" s="29"/>
      <c r="C38" s="255" t="s">
        <v>20</v>
      </c>
      <c r="D38" s="94"/>
      <c r="E38" s="94"/>
      <c r="F38" s="93"/>
      <c r="G38" s="93"/>
      <c r="H38" s="298" t="s">
        <v>115</v>
      </c>
      <c r="I38" s="298"/>
      <c r="J38" s="298"/>
      <c r="K38" s="325"/>
      <c r="L38" s="325"/>
      <c r="M38" s="325"/>
      <c r="N38" s="93"/>
      <c r="O38" s="93"/>
      <c r="P38" s="93"/>
      <c r="Q38" s="30"/>
      <c r="R38" s="93"/>
      <c r="S38" s="93"/>
      <c r="T38" s="32"/>
      <c r="U38" s="93"/>
      <c r="V38" s="93"/>
      <c r="W38" s="93"/>
      <c r="X38" s="93"/>
      <c r="Y38" s="93"/>
      <c r="Z38" s="93"/>
      <c r="AA38" s="93"/>
      <c r="AB38" s="93"/>
      <c r="AC38" s="93"/>
    </row>
    <row r="39" spans="1:29" s="106" customFormat="1" ht="19.5" customHeight="1" x14ac:dyDescent="0.25">
      <c r="B39" s="20"/>
      <c r="C39" s="51"/>
      <c r="D39" s="299" t="s">
        <v>29</v>
      </c>
      <c r="E39" s="299"/>
      <c r="F39" s="17"/>
      <c r="G39" s="17"/>
      <c r="H39" s="299" t="s">
        <v>30</v>
      </c>
      <c r="I39" s="299"/>
      <c r="J39" s="299"/>
      <c r="K39" s="17"/>
      <c r="L39" s="17"/>
      <c r="M39" s="17"/>
      <c r="N39" s="17"/>
      <c r="O39" s="17"/>
      <c r="P39" s="17"/>
      <c r="Q39" s="28"/>
      <c r="R39" s="17"/>
      <c r="S39" s="17"/>
      <c r="T39" s="33"/>
      <c r="U39" s="17"/>
      <c r="V39" s="17"/>
      <c r="W39" s="17"/>
      <c r="X39" s="17"/>
      <c r="Y39" s="17"/>
      <c r="Z39" s="17"/>
      <c r="AA39" s="17"/>
      <c r="AB39" s="17"/>
      <c r="AC39" s="17"/>
    </row>
    <row r="40" spans="1:29" s="105" customFormat="1" ht="19.5" customHeight="1" x14ac:dyDescent="0.2">
      <c r="B40" s="29"/>
      <c r="C40" s="255" t="s">
        <v>28</v>
      </c>
      <c r="D40" s="94"/>
      <c r="E40" s="94"/>
      <c r="F40" s="93"/>
      <c r="G40" s="93"/>
      <c r="H40" s="298" t="s">
        <v>92</v>
      </c>
      <c r="I40" s="298"/>
      <c r="J40" s="298"/>
      <c r="K40" s="93"/>
      <c r="L40" s="93"/>
      <c r="M40" s="93"/>
      <c r="N40" s="93"/>
      <c r="O40" s="93"/>
      <c r="P40" s="93"/>
      <c r="Q40" s="30"/>
      <c r="R40" s="93"/>
      <c r="S40" s="93"/>
      <c r="T40" s="32"/>
      <c r="U40" s="93"/>
      <c r="V40" s="93"/>
      <c r="W40" s="93"/>
      <c r="X40" s="93"/>
      <c r="Y40" s="93"/>
      <c r="Z40" s="93"/>
      <c r="AA40" s="93"/>
      <c r="AB40" s="93"/>
      <c r="AC40" s="93"/>
    </row>
    <row r="41" spans="1:29" s="106" customFormat="1" ht="19.5" customHeight="1" x14ac:dyDescent="0.25">
      <c r="B41" s="20"/>
      <c r="C41" s="51"/>
      <c r="D41" s="299" t="s">
        <v>29</v>
      </c>
      <c r="E41" s="299"/>
      <c r="F41" s="17"/>
      <c r="G41" s="17"/>
      <c r="H41" s="299" t="s">
        <v>30</v>
      </c>
      <c r="I41" s="299"/>
      <c r="J41" s="299"/>
      <c r="K41" s="17"/>
      <c r="L41" s="17"/>
      <c r="M41" s="17"/>
      <c r="N41" s="17"/>
      <c r="O41" s="17"/>
      <c r="P41" s="17"/>
      <c r="Q41" s="28"/>
      <c r="R41" s="17"/>
      <c r="S41" s="17"/>
      <c r="T41" s="33"/>
      <c r="U41" s="17"/>
      <c r="V41" s="17"/>
      <c r="W41" s="17"/>
      <c r="X41" s="17"/>
      <c r="Y41" s="17"/>
      <c r="Z41" s="17"/>
      <c r="AA41" s="17"/>
      <c r="AB41" s="17"/>
      <c r="AC41" s="17"/>
    </row>
    <row r="42" spans="1:29" s="105" customFormat="1" ht="19.5" customHeight="1" x14ac:dyDescent="0.2">
      <c r="B42" s="20"/>
      <c r="C42" s="255" t="s">
        <v>266</v>
      </c>
      <c r="D42" s="94"/>
      <c r="E42" s="94"/>
      <c r="F42" s="17"/>
      <c r="G42" s="17"/>
      <c r="H42" s="298" t="s">
        <v>125</v>
      </c>
      <c r="I42" s="298"/>
      <c r="J42" s="298"/>
      <c r="K42" s="17"/>
      <c r="L42" s="17"/>
      <c r="M42" s="17"/>
      <c r="N42" s="17"/>
      <c r="O42" s="17"/>
      <c r="P42" s="17"/>
      <c r="Q42" s="28"/>
      <c r="R42" s="17"/>
      <c r="S42" s="17"/>
      <c r="T42" s="33"/>
      <c r="U42" s="17"/>
      <c r="V42" s="17"/>
      <c r="W42" s="17"/>
      <c r="X42" s="17"/>
      <c r="Y42" s="17"/>
      <c r="Z42" s="17"/>
      <c r="AA42" s="17"/>
      <c r="AB42" s="17"/>
      <c r="AC42" s="17"/>
    </row>
    <row r="43" spans="1:29" s="105" customFormat="1" ht="19.5" customHeight="1" x14ac:dyDescent="0.2">
      <c r="B43" s="34"/>
      <c r="C43" s="35"/>
      <c r="D43" s="299" t="s">
        <v>29</v>
      </c>
      <c r="E43" s="299"/>
      <c r="F43" s="17"/>
      <c r="G43" s="17"/>
      <c r="H43" s="299" t="s">
        <v>30</v>
      </c>
      <c r="I43" s="299"/>
      <c r="J43" s="299"/>
      <c r="K43" s="17"/>
      <c r="L43" s="17"/>
      <c r="M43" s="17"/>
      <c r="N43" s="17"/>
      <c r="O43" s="17"/>
      <c r="P43" s="17"/>
      <c r="Q43" s="28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</row>
    <row r="44" spans="1:29" s="105" customFormat="1" ht="13.5" x14ac:dyDescent="0.2">
      <c r="B44" s="20"/>
      <c r="C44" s="17"/>
      <c r="D44" s="25"/>
      <c r="E44" s="25"/>
      <c r="F44" s="17"/>
      <c r="G44" s="25"/>
      <c r="H44" s="25"/>
      <c r="I44" s="25"/>
      <c r="J44" s="17"/>
      <c r="K44" s="17"/>
      <c r="L44" s="26"/>
      <c r="M44" s="27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</sheetData>
  <mergeCells count="38">
    <mergeCell ref="B5:Q5"/>
    <mergeCell ref="B6:Q6"/>
    <mergeCell ref="G2:AC2"/>
    <mergeCell ref="B2:C2"/>
    <mergeCell ref="K38:M38"/>
    <mergeCell ref="A8:A10"/>
    <mergeCell ref="K8:K9"/>
    <mergeCell ref="L8:L9"/>
    <mergeCell ref="B8:B9"/>
    <mergeCell ref="C8:C9"/>
    <mergeCell ref="D8:D9"/>
    <mergeCell ref="E8:E9"/>
    <mergeCell ref="F8:F9"/>
    <mergeCell ref="Y8:AA8"/>
    <mergeCell ref="AB8:AB9"/>
    <mergeCell ref="AC8:AC9"/>
    <mergeCell ref="H36:J36"/>
    <mergeCell ref="D37:E37"/>
    <mergeCell ref="H37:J37"/>
    <mergeCell ref="M8:M9"/>
    <mergeCell ref="N8:N9"/>
    <mergeCell ref="O8:O9"/>
    <mergeCell ref="P8:R8"/>
    <mergeCell ref="S8:U8"/>
    <mergeCell ref="V8:X8"/>
    <mergeCell ref="G8:G9"/>
    <mergeCell ref="H8:H9"/>
    <mergeCell ref="I8:I9"/>
    <mergeCell ref="J8:J9"/>
    <mergeCell ref="H42:J42"/>
    <mergeCell ref="D43:E43"/>
    <mergeCell ref="H43:J43"/>
    <mergeCell ref="H38:J38"/>
    <mergeCell ref="D39:E39"/>
    <mergeCell ref="H39:J39"/>
    <mergeCell ref="H40:J40"/>
    <mergeCell ref="D41:E41"/>
    <mergeCell ref="H41:J41"/>
  </mergeCells>
  <pageMargins left="0.23622047244094491" right="0.23622047244094491" top="0.19685039370078741" bottom="0.1968503937007874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80"/>
  <sheetViews>
    <sheetView view="pageBreakPreview" zoomScale="85" zoomScaleNormal="100" zoomScaleSheetLayoutView="85" workbookViewId="0">
      <pane xSplit="2" ySplit="12" topLeftCell="C61" activePane="bottomRight" state="frozen"/>
      <selection activeCell="A10" sqref="A10"/>
      <selection pane="topRight" activeCell="D10" sqref="D10"/>
      <selection pane="bottomLeft" activeCell="A13" sqref="A13"/>
      <selection pane="bottomRight" activeCell="AM64" sqref="AM64"/>
    </sheetView>
  </sheetViews>
  <sheetFormatPr defaultColWidth="9.140625" defaultRowHeight="15" x14ac:dyDescent="0.25"/>
  <cols>
    <col min="1" max="1" width="9.28515625" style="92" bestFit="1" customWidth="1"/>
    <col min="2" max="2" width="24.140625" style="92" customWidth="1"/>
    <col min="3" max="3" width="9.28515625" style="92" bestFit="1" customWidth="1"/>
    <col min="4" max="4" width="12.140625" style="92" customWidth="1"/>
    <col min="5" max="6" width="9.28515625" style="92" bestFit="1" customWidth="1"/>
    <col min="7" max="7" width="8.42578125" style="92" customWidth="1"/>
    <col min="8" max="8" width="9.28515625" style="53" hidden="1" customWidth="1"/>
    <col min="9" max="9" width="9.28515625" style="92" hidden="1" customWidth="1"/>
    <col min="10" max="10" width="9.5703125" style="92" hidden="1" customWidth="1"/>
    <col min="11" max="11" width="7.85546875" style="92" hidden="1" customWidth="1"/>
    <col min="12" max="13" width="9.5703125" style="92" hidden="1" customWidth="1"/>
    <col min="14" max="14" width="12.85546875" style="92" hidden="1" customWidth="1"/>
    <col min="15" max="15" width="6" style="92" hidden="1" customWidth="1"/>
    <col min="16" max="16" width="6.140625" style="92" hidden="1" customWidth="1"/>
    <col min="17" max="17" width="9.28515625" style="92" hidden="1" customWidth="1"/>
    <col min="18" max="18" width="7.140625" style="92" hidden="1" customWidth="1"/>
    <col min="19" max="19" width="7.85546875" style="92" hidden="1" customWidth="1"/>
    <col min="20" max="21" width="7.7109375" style="92" hidden="1" customWidth="1"/>
    <col min="22" max="22" width="5.28515625" style="92" hidden="1" customWidth="1"/>
    <col min="23" max="23" width="7.42578125" style="92" hidden="1" customWidth="1"/>
    <col min="24" max="24" width="7" style="92" hidden="1" customWidth="1"/>
    <col min="25" max="25" width="7.42578125" style="92" hidden="1" customWidth="1"/>
    <col min="26" max="26" width="10.42578125" style="92" hidden="1" customWidth="1"/>
    <col min="27" max="27" width="7.140625" style="92" hidden="1" customWidth="1"/>
    <col min="28" max="28" width="7.42578125" style="92" hidden="1" customWidth="1"/>
    <col min="29" max="29" width="7" style="92" hidden="1" customWidth="1"/>
    <col min="30" max="30" width="7.28515625" style="92" hidden="1" customWidth="1"/>
    <col min="31" max="31" width="8.28515625" style="92" hidden="1" customWidth="1"/>
    <col min="32" max="32" width="7.5703125" style="92" hidden="1" customWidth="1"/>
    <col min="33" max="33" width="9.28515625" style="92" bestFit="1" customWidth="1"/>
    <col min="34" max="34" width="12.85546875" style="92" bestFit="1" customWidth="1"/>
    <col min="35" max="16384" width="9.140625" style="92"/>
  </cols>
  <sheetData>
    <row r="1" spans="1:49" s="80" customFormat="1" ht="15" customHeight="1" x14ac:dyDescent="0.25">
      <c r="A1" s="3"/>
      <c r="B1" s="2" t="s">
        <v>63</v>
      </c>
      <c r="C1" s="114"/>
      <c r="D1" s="117"/>
      <c r="E1" s="117"/>
      <c r="F1" s="117"/>
      <c r="G1" s="257" t="s">
        <v>64</v>
      </c>
      <c r="H1" s="117"/>
      <c r="I1" s="114" t="s">
        <v>64</v>
      </c>
      <c r="J1" s="117"/>
      <c r="K1" s="117"/>
      <c r="L1" s="117"/>
      <c r="M1" s="117"/>
      <c r="N1" s="117"/>
      <c r="O1" s="117"/>
      <c r="P1" s="117"/>
      <c r="Q1" s="117"/>
      <c r="R1" s="117"/>
      <c r="S1" s="3"/>
      <c r="T1" s="3"/>
      <c r="U1" s="3"/>
      <c r="V1" s="8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8"/>
    </row>
    <row r="2" spans="1:49" s="80" customFormat="1" ht="47.25" customHeight="1" x14ac:dyDescent="0.25">
      <c r="A2" s="3"/>
      <c r="B2" s="329" t="s">
        <v>176</v>
      </c>
      <c r="C2" s="329"/>
      <c r="D2" s="329"/>
      <c r="E2" s="117"/>
      <c r="F2" s="329" t="s">
        <v>175</v>
      </c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  <c r="W2" s="329"/>
      <c r="X2" s="329"/>
      <c r="Y2" s="329"/>
      <c r="Z2" s="329"/>
      <c r="AA2" s="329"/>
      <c r="AB2" s="329"/>
      <c r="AC2" s="329"/>
      <c r="AD2" s="329"/>
      <c r="AE2" s="329"/>
      <c r="AF2" s="329"/>
      <c r="AG2" s="329"/>
      <c r="AH2" s="329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8"/>
    </row>
    <row r="3" spans="1:49" s="80" customFormat="1" ht="15.75" x14ac:dyDescent="0.25">
      <c r="A3" s="3"/>
      <c r="B3" s="2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3"/>
      <c r="T3" s="3"/>
      <c r="U3" s="3"/>
      <c r="V3" s="8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8"/>
    </row>
    <row r="4" spans="1:49" s="244" customFormat="1" ht="15" customHeight="1" x14ac:dyDescent="0.25">
      <c r="A4" s="7"/>
      <c r="B4" s="289"/>
      <c r="C4" s="140"/>
      <c r="D4" s="140"/>
      <c r="E4" s="140"/>
      <c r="F4" s="140"/>
      <c r="G4" s="140"/>
      <c r="H4" s="140"/>
      <c r="I4" s="77" t="s">
        <v>177</v>
      </c>
      <c r="J4" s="140"/>
      <c r="K4" s="140"/>
      <c r="L4" s="140"/>
      <c r="M4" s="140"/>
      <c r="N4" s="140"/>
      <c r="O4" s="140"/>
      <c r="P4" s="140"/>
      <c r="Q4" s="140"/>
      <c r="R4" s="140"/>
      <c r="S4" s="7"/>
      <c r="T4" s="7"/>
      <c r="U4" s="7"/>
      <c r="V4" s="6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6"/>
    </row>
    <row r="5" spans="1:49" x14ac:dyDescent="0.25">
      <c r="A5" s="184"/>
      <c r="B5" s="53"/>
      <c r="C5" s="51"/>
      <c r="D5" s="51"/>
      <c r="E5" s="118"/>
      <c r="F5" s="51"/>
      <c r="G5" s="51"/>
      <c r="H5" s="51"/>
      <c r="I5" s="51"/>
      <c r="J5" s="70"/>
      <c r="K5" s="51"/>
      <c r="L5" s="51"/>
      <c r="M5" s="51"/>
      <c r="N5" s="51"/>
      <c r="O5" s="51"/>
      <c r="P5" s="185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</row>
    <row r="6" spans="1:49" x14ac:dyDescent="0.25">
      <c r="A6" s="53"/>
      <c r="B6" s="53"/>
      <c r="C6" s="51"/>
      <c r="D6" s="51"/>
      <c r="E6" s="51"/>
      <c r="F6" s="51"/>
      <c r="G6" s="51"/>
      <c r="H6" s="51"/>
      <c r="I6" s="51"/>
      <c r="J6" s="70"/>
      <c r="K6" s="51"/>
      <c r="L6" s="51"/>
      <c r="M6" s="51"/>
      <c r="N6" s="51"/>
      <c r="O6" s="51"/>
      <c r="P6" s="185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66"/>
      <c r="AF6" s="51"/>
      <c r="AG6" s="51"/>
      <c r="AH6" s="51"/>
    </row>
    <row r="7" spans="1:49" ht="29.25" customHeight="1" x14ac:dyDescent="0.25">
      <c r="A7" s="296" t="s">
        <v>300</v>
      </c>
      <c r="B7" s="296"/>
      <c r="C7" s="296"/>
      <c r="D7" s="296"/>
      <c r="E7" s="296"/>
      <c r="F7" s="296"/>
      <c r="G7" s="296"/>
      <c r="H7" s="296"/>
      <c r="I7" s="296"/>
      <c r="J7" s="296"/>
      <c r="K7" s="296"/>
      <c r="L7" s="296"/>
      <c r="M7" s="296"/>
      <c r="N7" s="296"/>
      <c r="O7" s="51"/>
      <c r="P7" s="66"/>
      <c r="Q7" s="51"/>
      <c r="R7" s="51"/>
      <c r="S7" s="51"/>
      <c r="T7" s="51"/>
      <c r="U7" s="51"/>
      <c r="V7" s="66"/>
      <c r="W7" s="51"/>
      <c r="X7" s="51"/>
      <c r="Y7" s="51"/>
      <c r="Z7" s="51"/>
      <c r="AA7" s="51"/>
      <c r="AB7" s="51"/>
      <c r="AC7" s="51"/>
      <c r="AD7" s="51"/>
      <c r="AE7" s="66"/>
      <c r="AF7" s="51"/>
      <c r="AG7" s="51"/>
      <c r="AH7" s="51"/>
    </row>
    <row r="8" spans="1:49" x14ac:dyDescent="0.25">
      <c r="A8" s="341" t="s">
        <v>299</v>
      </c>
      <c r="B8" s="341"/>
      <c r="C8" s="341"/>
      <c r="D8" s="341"/>
      <c r="E8" s="341"/>
      <c r="F8" s="341"/>
      <c r="G8" s="341"/>
      <c r="H8" s="341"/>
      <c r="I8" s="341"/>
      <c r="J8" s="341"/>
      <c r="K8" s="341"/>
      <c r="L8" s="341"/>
      <c r="M8" s="341"/>
      <c r="N8" s="341"/>
      <c r="O8" s="51"/>
      <c r="P8" s="66"/>
      <c r="Q8" s="51"/>
      <c r="R8" s="51"/>
      <c r="S8" s="66"/>
      <c r="T8" s="51"/>
      <c r="U8" s="51"/>
      <c r="V8" s="66"/>
      <c r="W8" s="51"/>
      <c r="X8" s="51"/>
      <c r="Y8" s="66"/>
      <c r="Z8" s="51"/>
      <c r="AA8" s="51"/>
      <c r="AB8" s="66"/>
      <c r="AC8" s="51"/>
      <c r="AD8" s="51"/>
      <c r="AE8" s="51"/>
      <c r="AF8" s="51"/>
      <c r="AG8" s="51"/>
      <c r="AH8" s="51"/>
    </row>
    <row r="9" spans="1:49" x14ac:dyDescent="0.25">
      <c r="A9" s="53"/>
      <c r="B9" s="53"/>
      <c r="C9" s="51"/>
      <c r="D9" s="51"/>
      <c r="E9" s="51"/>
      <c r="F9" s="51"/>
      <c r="G9" s="51"/>
      <c r="H9" s="51"/>
      <c r="I9" s="51"/>
      <c r="J9" s="70"/>
      <c r="K9" s="51"/>
      <c r="L9" s="51"/>
      <c r="M9" s="51"/>
      <c r="N9" s="51"/>
      <c r="O9" s="51"/>
      <c r="P9" s="66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</row>
    <row r="10" spans="1:49" ht="69.75" customHeight="1" x14ac:dyDescent="0.25">
      <c r="A10" s="330" t="s">
        <v>0</v>
      </c>
      <c r="B10" s="330" t="s">
        <v>38</v>
      </c>
      <c r="C10" s="330" t="s">
        <v>46</v>
      </c>
      <c r="D10" s="330" t="s">
        <v>48</v>
      </c>
      <c r="E10" s="330" t="s">
        <v>17</v>
      </c>
      <c r="F10" s="330" t="s">
        <v>37</v>
      </c>
      <c r="G10" s="330" t="s">
        <v>33</v>
      </c>
      <c r="H10" s="330" t="s">
        <v>26</v>
      </c>
      <c r="I10" s="330" t="s">
        <v>2</v>
      </c>
      <c r="J10" s="339" t="s">
        <v>3</v>
      </c>
      <c r="K10" s="330" t="s">
        <v>10</v>
      </c>
      <c r="L10" s="330" t="s">
        <v>11</v>
      </c>
      <c r="M10" s="330" t="s">
        <v>31</v>
      </c>
      <c r="N10" s="330" t="s">
        <v>86</v>
      </c>
      <c r="O10" s="336" t="s">
        <v>119</v>
      </c>
      <c r="P10" s="337"/>
      <c r="Q10" s="338"/>
      <c r="R10" s="332" t="s">
        <v>14</v>
      </c>
      <c r="S10" s="333"/>
      <c r="T10" s="334"/>
      <c r="U10" s="332" t="s">
        <v>34</v>
      </c>
      <c r="V10" s="333"/>
      <c r="W10" s="334"/>
      <c r="X10" s="332" t="s">
        <v>36</v>
      </c>
      <c r="Y10" s="333"/>
      <c r="Z10" s="334"/>
      <c r="AA10" s="332" t="s">
        <v>297</v>
      </c>
      <c r="AB10" s="333"/>
      <c r="AC10" s="334"/>
      <c r="AD10" s="332" t="s">
        <v>35</v>
      </c>
      <c r="AE10" s="333"/>
      <c r="AF10" s="334"/>
      <c r="AG10" s="330" t="s">
        <v>21</v>
      </c>
      <c r="AH10" s="330" t="s">
        <v>24</v>
      </c>
    </row>
    <row r="11" spans="1:49" x14ac:dyDescent="0.25">
      <c r="A11" s="331"/>
      <c r="B11" s="331"/>
      <c r="C11" s="331"/>
      <c r="D11" s="331"/>
      <c r="E11" s="331"/>
      <c r="F11" s="331"/>
      <c r="G11" s="331"/>
      <c r="H11" s="331"/>
      <c r="I11" s="331"/>
      <c r="J11" s="340"/>
      <c r="K11" s="331"/>
      <c r="L11" s="331"/>
      <c r="M11" s="331"/>
      <c r="N11" s="331"/>
      <c r="O11" s="186" t="s">
        <v>45</v>
      </c>
      <c r="P11" s="151" t="s">
        <v>8</v>
      </c>
      <c r="Q11" s="150" t="s">
        <v>12</v>
      </c>
      <c r="R11" s="150" t="s">
        <v>45</v>
      </c>
      <c r="S11" s="151" t="s">
        <v>8</v>
      </c>
      <c r="T11" s="150" t="s">
        <v>12</v>
      </c>
      <c r="U11" s="150" t="s">
        <v>45</v>
      </c>
      <c r="V11" s="151" t="s">
        <v>8</v>
      </c>
      <c r="W11" s="150" t="s">
        <v>12</v>
      </c>
      <c r="X11" s="150" t="s">
        <v>45</v>
      </c>
      <c r="Y11" s="151" t="s">
        <v>8</v>
      </c>
      <c r="Z11" s="150" t="s">
        <v>12</v>
      </c>
      <c r="AA11" s="150" t="s">
        <v>45</v>
      </c>
      <c r="AB11" s="151" t="s">
        <v>8</v>
      </c>
      <c r="AC11" s="150" t="s">
        <v>12</v>
      </c>
      <c r="AD11" s="150" t="s">
        <v>45</v>
      </c>
      <c r="AE11" s="151" t="s">
        <v>8</v>
      </c>
      <c r="AF11" s="150" t="s">
        <v>12</v>
      </c>
      <c r="AG11" s="331"/>
      <c r="AH11" s="331"/>
    </row>
    <row r="12" spans="1:49" x14ac:dyDescent="0.25">
      <c r="A12" s="54"/>
      <c r="B12" s="54">
        <v>3</v>
      </c>
      <c r="C12" s="54">
        <v>4</v>
      </c>
      <c r="D12" s="54">
        <v>6</v>
      </c>
      <c r="E12" s="54">
        <v>7</v>
      </c>
      <c r="F12" s="54">
        <v>8</v>
      </c>
      <c r="G12" s="54">
        <v>9</v>
      </c>
      <c r="H12" s="54">
        <v>10</v>
      </c>
      <c r="I12" s="54">
        <v>11</v>
      </c>
      <c r="J12" s="57">
        <v>12</v>
      </c>
      <c r="K12" s="54">
        <v>13</v>
      </c>
      <c r="L12" s="54">
        <v>14</v>
      </c>
      <c r="M12" s="55">
        <v>15</v>
      </c>
      <c r="N12" s="55">
        <v>16</v>
      </c>
      <c r="O12" s="55">
        <v>23</v>
      </c>
      <c r="P12" s="56">
        <v>24</v>
      </c>
      <c r="Q12" s="54">
        <v>25</v>
      </c>
      <c r="R12" s="54">
        <v>26</v>
      </c>
      <c r="S12" s="56">
        <v>27</v>
      </c>
      <c r="T12" s="54">
        <v>28</v>
      </c>
      <c r="U12" s="54">
        <v>29</v>
      </c>
      <c r="V12" s="54">
        <v>30</v>
      </c>
      <c r="W12" s="54">
        <v>31</v>
      </c>
      <c r="X12" s="54">
        <v>32</v>
      </c>
      <c r="Y12" s="54">
        <v>33</v>
      </c>
      <c r="Z12" s="54">
        <v>34</v>
      </c>
      <c r="AA12" s="54">
        <v>35</v>
      </c>
      <c r="AB12" s="54">
        <v>36</v>
      </c>
      <c r="AC12" s="54">
        <v>37</v>
      </c>
      <c r="AD12" s="54">
        <v>38</v>
      </c>
      <c r="AE12" s="54">
        <v>39</v>
      </c>
      <c r="AF12" s="54">
        <v>40</v>
      </c>
      <c r="AG12" s="54">
        <v>41</v>
      </c>
      <c r="AH12" s="55">
        <v>42</v>
      </c>
    </row>
    <row r="13" spans="1:49" s="198" customFormat="1" ht="30" x14ac:dyDescent="0.25">
      <c r="A13" s="194">
        <v>1</v>
      </c>
      <c r="B13" s="194" t="s">
        <v>39</v>
      </c>
      <c r="C13" s="194" t="s">
        <v>51</v>
      </c>
      <c r="D13" s="54" t="s">
        <v>96</v>
      </c>
      <c r="E13" s="89"/>
      <c r="F13" s="89" t="s">
        <v>111</v>
      </c>
      <c r="G13" s="195">
        <v>1</v>
      </c>
      <c r="H13" s="194">
        <v>6.95</v>
      </c>
      <c r="I13" s="194">
        <v>17697</v>
      </c>
      <c r="J13" s="196">
        <f>I13*H13</f>
        <v>122994.15000000001</v>
      </c>
      <c r="K13" s="196"/>
      <c r="L13" s="196">
        <f>J13+K13</f>
        <v>122994.15000000001</v>
      </c>
      <c r="M13" s="196">
        <f>L13*G13</f>
        <v>122994.15000000001</v>
      </c>
      <c r="N13" s="196">
        <f>M13*10%</f>
        <v>12299.415000000001</v>
      </c>
      <c r="O13" s="196"/>
      <c r="P13" s="194"/>
      <c r="Q13" s="196"/>
      <c r="R13" s="197">
        <f>G13</f>
        <v>1</v>
      </c>
      <c r="S13" s="194">
        <v>40</v>
      </c>
      <c r="T13" s="196">
        <f>17697*R13*S13/100</f>
        <v>7078.8</v>
      </c>
      <c r="U13" s="196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96"/>
      <c r="AG13" s="196">
        <f>N13+Q13+T13+W13+AF13+Z13+AC13</f>
        <v>19378.215</v>
      </c>
      <c r="AH13" s="196">
        <f>AG13+M13</f>
        <v>142372.36500000002</v>
      </c>
    </row>
    <row r="14" spans="1:49" s="198" customFormat="1" ht="30" x14ac:dyDescent="0.25">
      <c r="A14" s="194">
        <v>2</v>
      </c>
      <c r="B14" s="194" t="s">
        <v>305</v>
      </c>
      <c r="C14" s="194" t="s">
        <v>51</v>
      </c>
      <c r="D14" s="120" t="s">
        <v>192</v>
      </c>
      <c r="E14" s="89"/>
      <c r="F14" s="89" t="s">
        <v>112</v>
      </c>
      <c r="G14" s="197">
        <v>1</v>
      </c>
      <c r="H14" s="197">
        <v>6.25</v>
      </c>
      <c r="I14" s="194">
        <v>17697</v>
      </c>
      <c r="J14" s="196">
        <f t="shared" ref="J14:J56" si="0">I14*H14</f>
        <v>110606.25</v>
      </c>
      <c r="K14" s="196"/>
      <c r="L14" s="196">
        <f t="shared" ref="L14:L56" si="1">J14+K14</f>
        <v>110606.25</v>
      </c>
      <c r="M14" s="196">
        <f t="shared" ref="M14:M56" si="2">L14*G14</f>
        <v>110606.25</v>
      </c>
      <c r="N14" s="196">
        <f t="shared" ref="N14:N56" si="3">M14*10%</f>
        <v>11060.625</v>
      </c>
      <c r="O14" s="197"/>
      <c r="P14" s="194"/>
      <c r="Q14" s="196"/>
      <c r="R14" s="197">
        <f>G14</f>
        <v>1</v>
      </c>
      <c r="S14" s="194">
        <v>40</v>
      </c>
      <c r="T14" s="196">
        <f>17697*R14*S14/100</f>
        <v>7078.8</v>
      </c>
      <c r="U14" s="196"/>
      <c r="V14" s="196"/>
      <c r="W14" s="196"/>
      <c r="X14" s="196"/>
      <c r="Y14" s="196"/>
      <c r="Z14" s="196"/>
      <c r="AA14" s="196"/>
      <c r="AB14" s="196"/>
      <c r="AC14" s="196"/>
      <c r="AD14" s="196"/>
      <c r="AE14" s="196"/>
      <c r="AF14" s="196"/>
      <c r="AG14" s="196">
        <f t="shared" ref="AG14:AG56" si="4">N14+Q14+T14+W14+AF14+Z14+AC14</f>
        <v>18139.424999999999</v>
      </c>
      <c r="AH14" s="196">
        <f t="shared" ref="AH14:AH56" si="5">AG14+M14</f>
        <v>128745.675</v>
      </c>
    </row>
    <row r="15" spans="1:49" s="198" customFormat="1" ht="30" x14ac:dyDescent="0.25">
      <c r="A15" s="194">
        <v>3</v>
      </c>
      <c r="B15" s="194" t="s">
        <v>306</v>
      </c>
      <c r="C15" s="199" t="s">
        <v>51</v>
      </c>
      <c r="D15" s="200" t="s">
        <v>154</v>
      </c>
      <c r="E15" s="201"/>
      <c r="F15" s="89" t="s">
        <v>112</v>
      </c>
      <c r="G15" s="195">
        <v>1</v>
      </c>
      <c r="H15" s="195">
        <v>6.42</v>
      </c>
      <c r="I15" s="194">
        <v>17697</v>
      </c>
      <c r="J15" s="196">
        <f t="shared" si="0"/>
        <v>113614.74</v>
      </c>
      <c r="K15" s="196"/>
      <c r="L15" s="196">
        <f t="shared" si="1"/>
        <v>113614.74</v>
      </c>
      <c r="M15" s="196">
        <f t="shared" si="2"/>
        <v>113614.74</v>
      </c>
      <c r="N15" s="196">
        <f t="shared" si="3"/>
        <v>11361.474000000002</v>
      </c>
      <c r="O15" s="197"/>
      <c r="P15" s="201"/>
      <c r="Q15" s="196"/>
      <c r="R15" s="197">
        <f>G15</f>
        <v>1</v>
      </c>
      <c r="S15" s="194">
        <v>40</v>
      </c>
      <c r="T15" s="196">
        <f>17697*R15*S15/100</f>
        <v>7078.8</v>
      </c>
      <c r="U15" s="196"/>
      <c r="V15" s="196"/>
      <c r="W15" s="196"/>
      <c r="X15" s="196"/>
      <c r="Y15" s="196"/>
      <c r="Z15" s="196"/>
      <c r="AA15" s="196"/>
      <c r="AB15" s="196"/>
      <c r="AC15" s="196"/>
      <c r="AD15" s="196"/>
      <c r="AE15" s="196"/>
      <c r="AF15" s="196"/>
      <c r="AG15" s="196">
        <f t="shared" si="4"/>
        <v>18440.274000000001</v>
      </c>
      <c r="AH15" s="196">
        <f t="shared" si="5"/>
        <v>132055.014</v>
      </c>
    </row>
    <row r="16" spans="1:49" s="198" customFormat="1" ht="30" x14ac:dyDescent="0.25">
      <c r="A16" s="194">
        <v>4</v>
      </c>
      <c r="B16" s="194" t="s">
        <v>140</v>
      </c>
      <c r="C16" s="54" t="s">
        <v>51</v>
      </c>
      <c r="D16" s="202" t="s">
        <v>208</v>
      </c>
      <c r="E16" s="89"/>
      <c r="F16" s="89" t="s">
        <v>112</v>
      </c>
      <c r="G16" s="91">
        <v>1</v>
      </c>
      <c r="H16" s="89">
        <v>5.75</v>
      </c>
      <c r="I16" s="194">
        <v>17697</v>
      </c>
      <c r="J16" s="196">
        <f t="shared" si="0"/>
        <v>101757.75</v>
      </c>
      <c r="K16" s="196"/>
      <c r="L16" s="196">
        <f t="shared" si="1"/>
        <v>101757.75</v>
      </c>
      <c r="M16" s="196">
        <f t="shared" si="2"/>
        <v>101757.75</v>
      </c>
      <c r="N16" s="196">
        <f t="shared" si="3"/>
        <v>10175.775000000001</v>
      </c>
      <c r="O16" s="203"/>
      <c r="P16" s="89"/>
      <c r="Q16" s="196"/>
      <c r="R16" s="197">
        <f>G16</f>
        <v>1</v>
      </c>
      <c r="S16" s="89">
        <v>40</v>
      </c>
      <c r="T16" s="196">
        <f>17697*R16*S16/100</f>
        <v>7078.8</v>
      </c>
      <c r="U16" s="196"/>
      <c r="V16" s="57"/>
      <c r="W16" s="196"/>
      <c r="X16" s="196"/>
      <c r="Y16" s="57"/>
      <c r="Z16" s="57"/>
      <c r="AA16" s="57"/>
      <c r="AB16" s="57"/>
      <c r="AC16" s="57"/>
      <c r="AD16" s="203"/>
      <c r="AE16" s="57"/>
      <c r="AF16" s="196"/>
      <c r="AG16" s="196">
        <f t="shared" si="4"/>
        <v>17254.575000000001</v>
      </c>
      <c r="AH16" s="196">
        <f t="shared" si="5"/>
        <v>119012.325</v>
      </c>
    </row>
    <row r="17" spans="1:34" s="198" customFormat="1" ht="30" x14ac:dyDescent="0.25">
      <c r="A17" s="194">
        <v>5</v>
      </c>
      <c r="B17" s="194" t="s">
        <v>129</v>
      </c>
      <c r="C17" s="89" t="s">
        <v>51</v>
      </c>
      <c r="D17" s="54" t="s">
        <v>96</v>
      </c>
      <c r="E17" s="89"/>
      <c r="F17" s="89" t="s">
        <v>113</v>
      </c>
      <c r="G17" s="91">
        <v>1</v>
      </c>
      <c r="H17" s="89">
        <v>6.33</v>
      </c>
      <c r="I17" s="194">
        <v>17697</v>
      </c>
      <c r="J17" s="196">
        <f t="shared" si="0"/>
        <v>112022.01</v>
      </c>
      <c r="K17" s="196"/>
      <c r="L17" s="196">
        <f t="shared" si="1"/>
        <v>112022.01</v>
      </c>
      <c r="M17" s="196">
        <f t="shared" si="2"/>
        <v>112022.01</v>
      </c>
      <c r="N17" s="196">
        <f t="shared" si="3"/>
        <v>11202.201000000001</v>
      </c>
      <c r="O17" s="203"/>
      <c r="P17" s="89"/>
      <c r="Q17" s="196"/>
      <c r="R17" s="197"/>
      <c r="S17" s="89"/>
      <c r="T17" s="196"/>
      <c r="U17" s="196"/>
      <c r="V17" s="57"/>
      <c r="W17" s="196"/>
      <c r="X17" s="196"/>
      <c r="Y17" s="57"/>
      <c r="Z17" s="57"/>
      <c r="AA17" s="57"/>
      <c r="AB17" s="57"/>
      <c r="AC17" s="57"/>
      <c r="AD17" s="57"/>
      <c r="AE17" s="57"/>
      <c r="AF17" s="196"/>
      <c r="AG17" s="196">
        <f t="shared" si="4"/>
        <v>11202.201000000001</v>
      </c>
      <c r="AH17" s="196">
        <f t="shared" si="5"/>
        <v>123224.211</v>
      </c>
    </row>
    <row r="18" spans="1:34" s="198" customFormat="1" x14ac:dyDescent="0.25">
      <c r="A18" s="194"/>
      <c r="B18" s="54" t="s">
        <v>68</v>
      </c>
      <c r="C18" s="89" t="s">
        <v>51</v>
      </c>
      <c r="D18" s="89" t="s">
        <v>155</v>
      </c>
      <c r="E18" s="89"/>
      <c r="F18" s="89" t="s">
        <v>236</v>
      </c>
      <c r="G18" s="91">
        <v>0.5</v>
      </c>
      <c r="H18" s="89">
        <v>4.46</v>
      </c>
      <c r="I18" s="194">
        <v>17697</v>
      </c>
      <c r="J18" s="196">
        <f>I18*H18</f>
        <v>78928.62</v>
      </c>
      <c r="K18" s="196"/>
      <c r="L18" s="196">
        <f>J18+K18</f>
        <v>78928.62</v>
      </c>
      <c r="M18" s="196">
        <f>L18*G18</f>
        <v>39464.31</v>
      </c>
      <c r="N18" s="196"/>
      <c r="O18" s="203"/>
      <c r="P18" s="89"/>
      <c r="Q18" s="196"/>
      <c r="R18" s="197"/>
      <c r="S18" s="89"/>
      <c r="T18" s="196"/>
      <c r="U18" s="197"/>
      <c r="V18" s="57"/>
      <c r="W18" s="196"/>
      <c r="X18" s="196"/>
      <c r="Y18" s="57"/>
      <c r="Z18" s="57"/>
      <c r="AA18" s="57"/>
      <c r="AB18" s="57"/>
      <c r="AC18" s="57"/>
      <c r="AD18" s="57"/>
      <c r="AE18" s="57"/>
      <c r="AF18" s="196"/>
      <c r="AG18" s="196">
        <f t="shared" si="4"/>
        <v>0</v>
      </c>
      <c r="AH18" s="196">
        <f t="shared" si="5"/>
        <v>39464.31</v>
      </c>
    </row>
    <row r="19" spans="1:34" s="198" customFormat="1" x14ac:dyDescent="0.25">
      <c r="A19" s="194">
        <v>6</v>
      </c>
      <c r="B19" s="54" t="s">
        <v>223</v>
      </c>
      <c r="C19" s="89" t="s">
        <v>51</v>
      </c>
      <c r="D19" s="89" t="s">
        <v>156</v>
      </c>
      <c r="E19" s="89"/>
      <c r="F19" s="89" t="s">
        <v>114</v>
      </c>
      <c r="G19" s="91">
        <v>1</v>
      </c>
      <c r="H19" s="89">
        <v>5.43</v>
      </c>
      <c r="I19" s="194">
        <v>17697</v>
      </c>
      <c r="J19" s="196">
        <f t="shared" si="0"/>
        <v>96094.709999999992</v>
      </c>
      <c r="K19" s="196"/>
      <c r="L19" s="196">
        <f t="shared" si="1"/>
        <v>96094.709999999992</v>
      </c>
      <c r="M19" s="196">
        <f t="shared" si="2"/>
        <v>96094.709999999992</v>
      </c>
      <c r="N19" s="196">
        <f t="shared" si="3"/>
        <v>9609.4709999999995</v>
      </c>
      <c r="O19" s="203"/>
      <c r="P19" s="89"/>
      <c r="Q19" s="196"/>
      <c r="R19" s="197"/>
      <c r="S19" s="89"/>
      <c r="T19" s="196"/>
      <c r="U19" s="196"/>
      <c r="V19" s="57"/>
      <c r="W19" s="196"/>
      <c r="X19" s="196"/>
      <c r="Y19" s="57"/>
      <c r="Z19" s="57"/>
      <c r="AA19" s="57"/>
      <c r="AB19" s="57"/>
      <c r="AC19" s="57"/>
      <c r="AD19" s="57"/>
      <c r="AE19" s="57"/>
      <c r="AF19" s="196"/>
      <c r="AG19" s="196">
        <f t="shared" si="4"/>
        <v>9609.4709999999995</v>
      </c>
      <c r="AH19" s="196">
        <f t="shared" si="5"/>
        <v>105704.181</v>
      </c>
    </row>
    <row r="20" spans="1:34" s="198" customFormat="1" x14ac:dyDescent="0.25">
      <c r="A20" s="194"/>
      <c r="B20" s="54" t="s">
        <v>68</v>
      </c>
      <c r="C20" s="89" t="s">
        <v>51</v>
      </c>
      <c r="D20" s="89" t="s">
        <v>156</v>
      </c>
      <c r="E20" s="89"/>
      <c r="F20" s="89" t="s">
        <v>236</v>
      </c>
      <c r="G20" s="91">
        <v>0.5</v>
      </c>
      <c r="H20" s="91">
        <v>4.43</v>
      </c>
      <c r="I20" s="194">
        <v>17697</v>
      </c>
      <c r="J20" s="196">
        <f t="shared" si="0"/>
        <v>78397.709999999992</v>
      </c>
      <c r="K20" s="196"/>
      <c r="L20" s="196">
        <f t="shared" si="1"/>
        <v>78397.709999999992</v>
      </c>
      <c r="M20" s="196">
        <f t="shared" si="2"/>
        <v>39198.854999999996</v>
      </c>
      <c r="N20" s="196"/>
      <c r="O20" s="203"/>
      <c r="P20" s="89"/>
      <c r="Q20" s="196"/>
      <c r="R20" s="197"/>
      <c r="S20" s="89"/>
      <c r="T20" s="196"/>
      <c r="U20" s="196"/>
      <c r="V20" s="57"/>
      <c r="W20" s="196"/>
      <c r="X20" s="196"/>
      <c r="Y20" s="57"/>
      <c r="Z20" s="57"/>
      <c r="AA20" s="57"/>
      <c r="AB20" s="57"/>
      <c r="AC20" s="57"/>
      <c r="AD20" s="57"/>
      <c r="AE20" s="57"/>
      <c r="AF20" s="196"/>
      <c r="AG20" s="196">
        <f t="shared" si="4"/>
        <v>0</v>
      </c>
      <c r="AH20" s="196">
        <f t="shared" si="5"/>
        <v>39198.854999999996</v>
      </c>
    </row>
    <row r="21" spans="1:34" s="198" customFormat="1" x14ac:dyDescent="0.25">
      <c r="A21" s="194">
        <v>7</v>
      </c>
      <c r="B21" s="54" t="s">
        <v>224</v>
      </c>
      <c r="C21" s="89" t="s">
        <v>51</v>
      </c>
      <c r="D21" s="89" t="s">
        <v>158</v>
      </c>
      <c r="E21" s="89"/>
      <c r="F21" s="89" t="s">
        <v>236</v>
      </c>
      <c r="G21" s="91">
        <v>1</v>
      </c>
      <c r="H21" s="91">
        <v>4.1900000000000004</v>
      </c>
      <c r="I21" s="194">
        <v>17697</v>
      </c>
      <c r="J21" s="196">
        <f>I21*H21</f>
        <v>74150.430000000008</v>
      </c>
      <c r="K21" s="196"/>
      <c r="L21" s="196">
        <f>J21+K21</f>
        <v>74150.430000000008</v>
      </c>
      <c r="M21" s="196">
        <f>L21*G21</f>
        <v>74150.430000000008</v>
      </c>
      <c r="N21" s="196">
        <f>M21*10%</f>
        <v>7415.0430000000015</v>
      </c>
      <c r="O21" s="203"/>
      <c r="P21" s="89"/>
      <c r="Q21" s="196"/>
      <c r="R21" s="197"/>
      <c r="S21" s="89"/>
      <c r="T21" s="196"/>
      <c r="U21" s="196"/>
      <c r="V21" s="57"/>
      <c r="W21" s="196"/>
      <c r="X21" s="196"/>
      <c r="Y21" s="57"/>
      <c r="Z21" s="57"/>
      <c r="AA21" s="57"/>
      <c r="AB21" s="57"/>
      <c r="AC21" s="57"/>
      <c r="AD21" s="57"/>
      <c r="AE21" s="57"/>
      <c r="AF21" s="196"/>
      <c r="AG21" s="196">
        <f t="shared" si="4"/>
        <v>7415.0430000000015</v>
      </c>
      <c r="AH21" s="196">
        <f t="shared" si="5"/>
        <v>81565.473000000013</v>
      </c>
    </row>
    <row r="22" spans="1:34" s="198" customFormat="1" x14ac:dyDescent="0.25">
      <c r="A22" s="194"/>
      <c r="B22" s="54" t="s">
        <v>121</v>
      </c>
      <c r="C22" s="89" t="s">
        <v>51</v>
      </c>
      <c r="D22" s="204" t="s">
        <v>158</v>
      </c>
      <c r="E22" s="89"/>
      <c r="F22" s="89" t="s">
        <v>236</v>
      </c>
      <c r="G22" s="91">
        <v>0.5</v>
      </c>
      <c r="H22" s="91">
        <v>4.1900000000000004</v>
      </c>
      <c r="I22" s="194">
        <v>17697</v>
      </c>
      <c r="J22" s="196">
        <f>I22*H22</f>
        <v>74150.430000000008</v>
      </c>
      <c r="K22" s="196"/>
      <c r="L22" s="196">
        <f>J22+K22</f>
        <v>74150.430000000008</v>
      </c>
      <c r="M22" s="196">
        <f>L22*G22</f>
        <v>37075.215000000004</v>
      </c>
      <c r="N22" s="196"/>
      <c r="O22" s="203"/>
      <c r="P22" s="89"/>
      <c r="Q22" s="196"/>
      <c r="R22" s="197"/>
      <c r="S22" s="89"/>
      <c r="T22" s="196"/>
      <c r="U22" s="196"/>
      <c r="V22" s="57"/>
      <c r="W22" s="196"/>
      <c r="X22" s="196"/>
      <c r="Y22" s="57"/>
      <c r="Z22" s="57"/>
      <c r="AA22" s="57"/>
      <c r="AB22" s="57"/>
      <c r="AC22" s="57"/>
      <c r="AD22" s="57"/>
      <c r="AE22" s="57"/>
      <c r="AF22" s="196"/>
      <c r="AG22" s="196">
        <f t="shared" si="4"/>
        <v>0</v>
      </c>
      <c r="AH22" s="196">
        <f t="shared" si="5"/>
        <v>37075.215000000004</v>
      </c>
    </row>
    <row r="23" spans="1:34" s="198" customFormat="1" x14ac:dyDescent="0.25">
      <c r="A23" s="194">
        <v>9</v>
      </c>
      <c r="B23" s="54" t="s">
        <v>121</v>
      </c>
      <c r="C23" s="89" t="s">
        <v>51</v>
      </c>
      <c r="D23" s="89" t="s">
        <v>156</v>
      </c>
      <c r="E23" s="89"/>
      <c r="F23" s="89" t="s">
        <v>236</v>
      </c>
      <c r="G23" s="91">
        <v>0.5</v>
      </c>
      <c r="H23" s="91">
        <v>4.43</v>
      </c>
      <c r="I23" s="194">
        <v>17697</v>
      </c>
      <c r="J23" s="196">
        <f t="shared" si="0"/>
        <v>78397.709999999992</v>
      </c>
      <c r="K23" s="196"/>
      <c r="L23" s="196">
        <f t="shared" si="1"/>
        <v>78397.709999999992</v>
      </c>
      <c r="M23" s="196">
        <f t="shared" si="2"/>
        <v>39198.854999999996</v>
      </c>
      <c r="N23" s="196">
        <f t="shared" si="3"/>
        <v>3919.8854999999999</v>
      </c>
      <c r="O23" s="203"/>
      <c r="P23" s="89"/>
      <c r="Q23" s="196"/>
      <c r="R23" s="197"/>
      <c r="S23" s="89"/>
      <c r="T23" s="196"/>
      <c r="U23" s="196"/>
      <c r="V23" s="57"/>
      <c r="W23" s="196"/>
      <c r="X23" s="196"/>
      <c r="Y23" s="57"/>
      <c r="Z23" s="57"/>
      <c r="AA23" s="57"/>
      <c r="AB23" s="57"/>
      <c r="AC23" s="57"/>
      <c r="AD23" s="57"/>
      <c r="AE23" s="57"/>
      <c r="AF23" s="196"/>
      <c r="AG23" s="196">
        <f t="shared" si="4"/>
        <v>3919.8854999999999</v>
      </c>
      <c r="AH23" s="196">
        <f t="shared" si="5"/>
        <v>43118.740499999993</v>
      </c>
    </row>
    <row r="24" spans="1:34" s="198" customFormat="1" ht="30" x14ac:dyDescent="0.25">
      <c r="A24" s="194">
        <v>9</v>
      </c>
      <c r="B24" s="202" t="s">
        <v>67</v>
      </c>
      <c r="C24" s="89" t="s">
        <v>51</v>
      </c>
      <c r="D24" s="199" t="s">
        <v>136</v>
      </c>
      <c r="E24" s="89"/>
      <c r="F24" s="89" t="s">
        <v>237</v>
      </c>
      <c r="G24" s="91">
        <v>1</v>
      </c>
      <c r="H24" s="89">
        <v>4.4400000000000004</v>
      </c>
      <c r="I24" s="194">
        <v>17697</v>
      </c>
      <c r="J24" s="196">
        <f t="shared" si="0"/>
        <v>78574.680000000008</v>
      </c>
      <c r="K24" s="196"/>
      <c r="L24" s="196">
        <f t="shared" si="1"/>
        <v>78574.680000000008</v>
      </c>
      <c r="M24" s="196">
        <f t="shared" si="2"/>
        <v>78574.680000000008</v>
      </c>
      <c r="N24" s="196">
        <f t="shared" si="3"/>
        <v>7857.4680000000008</v>
      </c>
      <c r="O24" s="203">
        <v>1</v>
      </c>
      <c r="P24" s="57">
        <v>30</v>
      </c>
      <c r="Q24" s="196">
        <f>17697*30%</f>
        <v>5309.0999999999995</v>
      </c>
      <c r="R24" s="197">
        <f>G24</f>
        <v>1</v>
      </c>
      <c r="S24" s="89">
        <v>40</v>
      </c>
      <c r="T24" s="196">
        <f t="shared" ref="T24:T30" si="6">17697*R24*S24/100</f>
        <v>7078.8</v>
      </c>
      <c r="U24" s="196"/>
      <c r="V24" s="57"/>
      <c r="W24" s="196"/>
      <c r="X24" s="196"/>
      <c r="Y24" s="57"/>
      <c r="Z24" s="57"/>
      <c r="AA24" s="57"/>
      <c r="AB24" s="57"/>
      <c r="AC24" s="57"/>
      <c r="AD24" s="89"/>
      <c r="AE24" s="89"/>
      <c r="AF24" s="89"/>
      <c r="AG24" s="196">
        <f t="shared" si="4"/>
        <v>20245.367999999999</v>
      </c>
      <c r="AH24" s="196">
        <f t="shared" si="5"/>
        <v>98820.04800000001</v>
      </c>
    </row>
    <row r="25" spans="1:34" s="205" customFormat="1" ht="30" x14ac:dyDescent="0.25">
      <c r="A25" s="194">
        <v>10</v>
      </c>
      <c r="B25" s="202" t="s">
        <v>126</v>
      </c>
      <c r="C25" s="89" t="s">
        <v>51</v>
      </c>
      <c r="D25" s="54" t="s">
        <v>96</v>
      </c>
      <c r="E25" s="199" t="s">
        <v>53</v>
      </c>
      <c r="F25" s="199" t="s">
        <v>102</v>
      </c>
      <c r="G25" s="91">
        <v>1</v>
      </c>
      <c r="H25" s="89">
        <v>4.75</v>
      </c>
      <c r="I25" s="194">
        <v>17697</v>
      </c>
      <c r="J25" s="196">
        <f t="shared" si="0"/>
        <v>84060.75</v>
      </c>
      <c r="K25" s="196"/>
      <c r="L25" s="196">
        <f t="shared" si="1"/>
        <v>84060.75</v>
      </c>
      <c r="M25" s="196">
        <f t="shared" si="2"/>
        <v>84060.75</v>
      </c>
      <c r="N25" s="196">
        <f t="shared" si="3"/>
        <v>8406.0750000000007</v>
      </c>
      <c r="O25" s="203"/>
      <c r="P25" s="57"/>
      <c r="Q25" s="196"/>
      <c r="R25" s="197">
        <f t="shared" ref="R25:R30" si="7">G25</f>
        <v>1</v>
      </c>
      <c r="S25" s="89">
        <v>40</v>
      </c>
      <c r="T25" s="196">
        <f t="shared" si="6"/>
        <v>7078.8</v>
      </c>
      <c r="U25" s="196"/>
      <c r="V25" s="57"/>
      <c r="W25" s="196"/>
      <c r="X25" s="196"/>
      <c r="Y25" s="57"/>
      <c r="Z25" s="57"/>
      <c r="AA25" s="57"/>
      <c r="AB25" s="57"/>
      <c r="AC25" s="57"/>
      <c r="AD25" s="89"/>
      <c r="AE25" s="89"/>
      <c r="AF25" s="89"/>
      <c r="AG25" s="196">
        <f t="shared" si="4"/>
        <v>15484.875</v>
      </c>
      <c r="AH25" s="196">
        <f t="shared" si="5"/>
        <v>99545.625</v>
      </c>
    </row>
    <row r="26" spans="1:34" s="205" customFormat="1" ht="30" x14ac:dyDescent="0.25">
      <c r="A26" s="194">
        <v>11</v>
      </c>
      <c r="B26" s="54" t="s">
        <v>76</v>
      </c>
      <c r="C26" s="89" t="s">
        <v>51</v>
      </c>
      <c r="D26" s="54" t="s">
        <v>263</v>
      </c>
      <c r="E26" s="89" t="s">
        <v>81</v>
      </c>
      <c r="F26" s="89" t="s">
        <v>94</v>
      </c>
      <c r="G26" s="206">
        <v>0.61</v>
      </c>
      <c r="H26" s="91">
        <v>3.58</v>
      </c>
      <c r="I26" s="194">
        <v>17697</v>
      </c>
      <c r="J26" s="196">
        <f t="shared" si="0"/>
        <v>63355.26</v>
      </c>
      <c r="K26" s="196"/>
      <c r="L26" s="196">
        <f t="shared" si="1"/>
        <v>63355.26</v>
      </c>
      <c r="M26" s="196">
        <f t="shared" si="2"/>
        <v>38646.708599999998</v>
      </c>
      <c r="N26" s="196">
        <f t="shared" si="3"/>
        <v>3864.6708600000002</v>
      </c>
      <c r="O26" s="203"/>
      <c r="P26" s="89"/>
      <c r="Q26" s="196"/>
      <c r="R26" s="197">
        <f>G26</f>
        <v>0.61</v>
      </c>
      <c r="S26" s="89">
        <v>40</v>
      </c>
      <c r="T26" s="196">
        <f t="shared" si="6"/>
        <v>4318.0680000000002</v>
      </c>
      <c r="U26" s="196"/>
      <c r="V26" s="57"/>
      <c r="W26" s="196"/>
      <c r="X26" s="196"/>
      <c r="Y26" s="57"/>
      <c r="Z26" s="57"/>
      <c r="AA26" s="57"/>
      <c r="AB26" s="57"/>
      <c r="AC26" s="57"/>
      <c r="AD26" s="57"/>
      <c r="AE26" s="57"/>
      <c r="AF26" s="196"/>
      <c r="AG26" s="196">
        <f t="shared" si="4"/>
        <v>8182.7388600000004</v>
      </c>
      <c r="AH26" s="196">
        <f t="shared" si="5"/>
        <v>46829.447459999996</v>
      </c>
    </row>
    <row r="27" spans="1:34" s="198" customFormat="1" ht="30" x14ac:dyDescent="0.25">
      <c r="A27" s="194">
        <v>12</v>
      </c>
      <c r="B27" s="54" t="s">
        <v>76</v>
      </c>
      <c r="C27" s="194" t="s">
        <v>51</v>
      </c>
      <c r="D27" s="149" t="s">
        <v>157</v>
      </c>
      <c r="E27" s="89" t="s">
        <v>81</v>
      </c>
      <c r="F27" s="89" t="s">
        <v>94</v>
      </c>
      <c r="G27" s="206">
        <v>0.39</v>
      </c>
      <c r="H27" s="91">
        <v>3.71</v>
      </c>
      <c r="I27" s="194">
        <v>17697</v>
      </c>
      <c r="J27" s="196">
        <f t="shared" si="0"/>
        <v>65655.87</v>
      </c>
      <c r="K27" s="196"/>
      <c r="L27" s="196">
        <f t="shared" si="1"/>
        <v>65655.87</v>
      </c>
      <c r="M27" s="196">
        <f t="shared" si="2"/>
        <v>25605.7893</v>
      </c>
      <c r="N27" s="196">
        <f t="shared" si="3"/>
        <v>2560.5789300000001</v>
      </c>
      <c r="O27" s="203"/>
      <c r="P27" s="89"/>
      <c r="Q27" s="196"/>
      <c r="R27" s="197">
        <f t="shared" si="7"/>
        <v>0.39</v>
      </c>
      <c r="S27" s="89">
        <v>40</v>
      </c>
      <c r="T27" s="196">
        <f t="shared" si="6"/>
        <v>2760.732</v>
      </c>
      <c r="U27" s="196"/>
      <c r="V27" s="57"/>
      <c r="W27" s="196"/>
      <c r="X27" s="196"/>
      <c r="Y27" s="57"/>
      <c r="Z27" s="57"/>
      <c r="AA27" s="57"/>
      <c r="AB27" s="57"/>
      <c r="AC27" s="57"/>
      <c r="AD27" s="57"/>
      <c r="AE27" s="57"/>
      <c r="AF27" s="196"/>
      <c r="AG27" s="196">
        <f t="shared" si="4"/>
        <v>5321.3109299999996</v>
      </c>
      <c r="AH27" s="196">
        <f t="shared" si="5"/>
        <v>30927.10023</v>
      </c>
    </row>
    <row r="28" spans="1:34" s="198" customFormat="1" x14ac:dyDescent="0.25">
      <c r="A28" s="194">
        <v>13</v>
      </c>
      <c r="B28" s="54" t="s">
        <v>117</v>
      </c>
      <c r="C28" s="54" t="s">
        <v>51</v>
      </c>
      <c r="D28" s="199" t="s">
        <v>234</v>
      </c>
      <c r="E28" s="89" t="s">
        <v>81</v>
      </c>
      <c r="F28" s="89" t="s">
        <v>146</v>
      </c>
      <c r="G28" s="91">
        <v>1</v>
      </c>
      <c r="H28" s="91">
        <v>4.2300000000000004</v>
      </c>
      <c r="I28" s="194">
        <v>17697</v>
      </c>
      <c r="J28" s="196">
        <f t="shared" si="0"/>
        <v>74858.310000000012</v>
      </c>
      <c r="K28" s="196"/>
      <c r="L28" s="196">
        <f t="shared" si="1"/>
        <v>74858.310000000012</v>
      </c>
      <c r="M28" s="196">
        <f t="shared" si="2"/>
        <v>74858.310000000012</v>
      </c>
      <c r="N28" s="196">
        <f t="shared" si="3"/>
        <v>7485.8310000000019</v>
      </c>
      <c r="O28" s="203"/>
      <c r="P28" s="89"/>
      <c r="Q28" s="196"/>
      <c r="R28" s="197">
        <f t="shared" si="7"/>
        <v>1</v>
      </c>
      <c r="S28" s="89">
        <v>40</v>
      </c>
      <c r="T28" s="196">
        <f t="shared" si="6"/>
        <v>7078.8</v>
      </c>
      <c r="U28" s="196"/>
      <c r="V28" s="57"/>
      <c r="W28" s="196"/>
      <c r="X28" s="196"/>
      <c r="Y28" s="57"/>
      <c r="Z28" s="57"/>
      <c r="AA28" s="57"/>
      <c r="AB28" s="57"/>
      <c r="AC28" s="57"/>
      <c r="AD28" s="203"/>
      <c r="AE28" s="57"/>
      <c r="AF28" s="196"/>
      <c r="AG28" s="196">
        <f t="shared" si="4"/>
        <v>14564.631000000001</v>
      </c>
      <c r="AH28" s="196">
        <f t="shared" si="5"/>
        <v>89422.941000000021</v>
      </c>
    </row>
    <row r="29" spans="1:34" s="198" customFormat="1" x14ac:dyDescent="0.25">
      <c r="A29" s="194">
        <v>14</v>
      </c>
      <c r="B29" s="54" t="s">
        <v>225</v>
      </c>
      <c r="C29" s="89" t="s">
        <v>51</v>
      </c>
      <c r="D29" s="90" t="s">
        <v>186</v>
      </c>
      <c r="E29" s="54" t="s">
        <v>233</v>
      </c>
      <c r="F29" s="89" t="s">
        <v>109</v>
      </c>
      <c r="G29" s="91">
        <v>1</v>
      </c>
      <c r="H29" s="91">
        <v>4.07</v>
      </c>
      <c r="I29" s="194">
        <v>17697</v>
      </c>
      <c r="J29" s="196">
        <f t="shared" si="0"/>
        <v>72026.790000000008</v>
      </c>
      <c r="K29" s="196"/>
      <c r="L29" s="196">
        <f t="shared" si="1"/>
        <v>72026.790000000008</v>
      </c>
      <c r="M29" s="196">
        <f t="shared" si="2"/>
        <v>72026.790000000008</v>
      </c>
      <c r="N29" s="196">
        <f t="shared" si="3"/>
        <v>7202.679000000001</v>
      </c>
      <c r="O29" s="203"/>
      <c r="P29" s="89"/>
      <c r="Q29" s="196"/>
      <c r="R29" s="197">
        <f t="shared" si="7"/>
        <v>1</v>
      </c>
      <c r="S29" s="89">
        <v>40</v>
      </c>
      <c r="T29" s="196">
        <f t="shared" si="6"/>
        <v>7078.8</v>
      </c>
      <c r="U29" s="196"/>
      <c r="V29" s="57"/>
      <c r="W29" s="196"/>
      <c r="X29" s="196"/>
      <c r="Y29" s="57"/>
      <c r="Z29" s="57"/>
      <c r="AA29" s="57"/>
      <c r="AB29" s="57"/>
      <c r="AC29" s="57"/>
      <c r="AD29" s="203"/>
      <c r="AE29" s="57"/>
      <c r="AF29" s="196"/>
      <c r="AG29" s="196">
        <f>N29+Q29+T29+W29+AF29+Z29+AC29+21608</f>
        <v>35889.478999999999</v>
      </c>
      <c r="AH29" s="196">
        <f t="shared" si="5"/>
        <v>107916.269</v>
      </c>
    </row>
    <row r="30" spans="1:34" s="198" customFormat="1" x14ac:dyDescent="0.25">
      <c r="A30" s="194">
        <v>15</v>
      </c>
      <c r="B30" s="54" t="s">
        <v>225</v>
      </c>
      <c r="C30" s="199" t="s">
        <v>51</v>
      </c>
      <c r="D30" s="54" t="s">
        <v>235</v>
      </c>
      <c r="E30" s="89" t="s">
        <v>81</v>
      </c>
      <c r="F30" s="89" t="s">
        <v>94</v>
      </c>
      <c r="G30" s="91">
        <v>1</v>
      </c>
      <c r="H30" s="91">
        <v>3.71</v>
      </c>
      <c r="I30" s="194">
        <v>17697</v>
      </c>
      <c r="J30" s="196">
        <f t="shared" si="0"/>
        <v>65655.87</v>
      </c>
      <c r="K30" s="196"/>
      <c r="L30" s="196">
        <f t="shared" si="1"/>
        <v>65655.87</v>
      </c>
      <c r="M30" s="196">
        <f t="shared" si="2"/>
        <v>65655.87</v>
      </c>
      <c r="N30" s="196">
        <f t="shared" si="3"/>
        <v>6565.5869999999995</v>
      </c>
      <c r="O30" s="203"/>
      <c r="P30" s="89"/>
      <c r="Q30" s="196"/>
      <c r="R30" s="197">
        <f t="shared" si="7"/>
        <v>1</v>
      </c>
      <c r="S30" s="89">
        <v>40</v>
      </c>
      <c r="T30" s="196">
        <f t="shared" si="6"/>
        <v>7078.8</v>
      </c>
      <c r="U30" s="207"/>
      <c r="V30" s="208"/>
      <c r="W30" s="207"/>
      <c r="X30" s="207"/>
      <c r="Y30" s="208"/>
      <c r="Z30" s="208"/>
      <c r="AA30" s="208"/>
      <c r="AB30" s="208"/>
      <c r="AC30" s="208"/>
      <c r="AD30" s="209"/>
      <c r="AE30" s="208"/>
      <c r="AF30" s="207"/>
      <c r="AG30" s="196">
        <f t="shared" si="4"/>
        <v>13644.386999999999</v>
      </c>
      <c r="AH30" s="196">
        <f t="shared" si="5"/>
        <v>79300.256999999998</v>
      </c>
    </row>
    <row r="31" spans="1:34" s="198" customFormat="1" ht="30" x14ac:dyDescent="0.25">
      <c r="A31" s="194">
        <v>16</v>
      </c>
      <c r="B31" s="54" t="s">
        <v>75</v>
      </c>
      <c r="C31" s="89" t="s">
        <v>54</v>
      </c>
      <c r="D31" s="89" t="s">
        <v>159</v>
      </c>
      <c r="E31" s="89" t="s">
        <v>165</v>
      </c>
      <c r="F31" s="89" t="s">
        <v>144</v>
      </c>
      <c r="G31" s="91">
        <v>1</v>
      </c>
      <c r="H31" s="91">
        <v>2.98</v>
      </c>
      <c r="I31" s="194">
        <v>17697</v>
      </c>
      <c r="J31" s="196">
        <f t="shared" si="0"/>
        <v>52737.06</v>
      </c>
      <c r="K31" s="196"/>
      <c r="L31" s="196">
        <f t="shared" si="1"/>
        <v>52737.06</v>
      </c>
      <c r="M31" s="196">
        <f t="shared" si="2"/>
        <v>52737.06</v>
      </c>
      <c r="N31" s="196">
        <f t="shared" si="3"/>
        <v>5273.7060000000001</v>
      </c>
      <c r="O31" s="203"/>
      <c r="P31" s="89"/>
      <c r="Q31" s="196"/>
      <c r="R31" s="197"/>
      <c r="S31" s="89"/>
      <c r="T31" s="196"/>
      <c r="U31" s="196"/>
      <c r="V31" s="57"/>
      <c r="W31" s="196"/>
      <c r="X31" s="196"/>
      <c r="Y31" s="57"/>
      <c r="Z31" s="57"/>
      <c r="AA31" s="57"/>
      <c r="AB31" s="57"/>
      <c r="AC31" s="57"/>
      <c r="AD31" s="57"/>
      <c r="AE31" s="57"/>
      <c r="AF31" s="196"/>
      <c r="AG31" s="196">
        <f t="shared" si="4"/>
        <v>5273.7060000000001</v>
      </c>
      <c r="AH31" s="196">
        <f t="shared" si="5"/>
        <v>58010.765999999996</v>
      </c>
    </row>
    <row r="32" spans="1:34" s="198" customFormat="1" x14ac:dyDescent="0.25">
      <c r="A32" s="194"/>
      <c r="B32" s="54" t="s">
        <v>123</v>
      </c>
      <c r="C32" s="89" t="s">
        <v>54</v>
      </c>
      <c r="D32" s="89" t="s">
        <v>159</v>
      </c>
      <c r="E32" s="89" t="s">
        <v>165</v>
      </c>
      <c r="F32" s="89" t="s">
        <v>238</v>
      </c>
      <c r="G32" s="91">
        <v>0.5</v>
      </c>
      <c r="H32" s="91">
        <v>3.35</v>
      </c>
      <c r="I32" s="194">
        <v>17697</v>
      </c>
      <c r="J32" s="196">
        <f t="shared" si="0"/>
        <v>59284.950000000004</v>
      </c>
      <c r="K32" s="196"/>
      <c r="L32" s="196">
        <f t="shared" si="1"/>
        <v>59284.950000000004</v>
      </c>
      <c r="M32" s="196">
        <f t="shared" si="2"/>
        <v>29642.475000000002</v>
      </c>
      <c r="N32" s="196"/>
      <c r="O32" s="203"/>
      <c r="P32" s="89"/>
      <c r="Q32" s="196"/>
      <c r="R32" s="197"/>
      <c r="S32" s="89"/>
      <c r="T32" s="196"/>
      <c r="U32" s="196"/>
      <c r="V32" s="57"/>
      <c r="W32" s="196"/>
      <c r="X32" s="196"/>
      <c r="Y32" s="57"/>
      <c r="Z32" s="57"/>
      <c r="AA32" s="57"/>
      <c r="AB32" s="57"/>
      <c r="AC32" s="57"/>
      <c r="AD32" s="57"/>
      <c r="AE32" s="57"/>
      <c r="AF32" s="196"/>
      <c r="AG32" s="196">
        <f t="shared" si="4"/>
        <v>0</v>
      </c>
      <c r="AH32" s="196">
        <f t="shared" si="5"/>
        <v>29642.475000000002</v>
      </c>
    </row>
    <row r="33" spans="1:35" s="198" customFormat="1" x14ac:dyDescent="0.25">
      <c r="A33" s="194">
        <v>17</v>
      </c>
      <c r="B33" s="149" t="s">
        <v>69</v>
      </c>
      <c r="C33" s="89" t="s">
        <v>51</v>
      </c>
      <c r="D33" s="178" t="s">
        <v>207</v>
      </c>
      <c r="E33" s="89" t="s">
        <v>81</v>
      </c>
      <c r="F33" s="89" t="s">
        <v>94</v>
      </c>
      <c r="G33" s="91">
        <v>1</v>
      </c>
      <c r="H33" s="91">
        <v>4</v>
      </c>
      <c r="I33" s="194">
        <v>17697</v>
      </c>
      <c r="J33" s="196">
        <f t="shared" si="0"/>
        <v>70788</v>
      </c>
      <c r="K33" s="196"/>
      <c r="L33" s="196">
        <f t="shared" si="1"/>
        <v>70788</v>
      </c>
      <c r="M33" s="196">
        <f t="shared" si="2"/>
        <v>70788</v>
      </c>
      <c r="N33" s="196">
        <f t="shared" si="3"/>
        <v>7078.8</v>
      </c>
      <c r="O33" s="203"/>
      <c r="P33" s="89"/>
      <c r="Q33" s="196"/>
      <c r="R33" s="197">
        <f t="shared" ref="R33:R37" si="8">G33</f>
        <v>1</v>
      </c>
      <c r="S33" s="89">
        <v>40</v>
      </c>
      <c r="T33" s="196">
        <f>17697*R33*S33/100</f>
        <v>7078.8</v>
      </c>
      <c r="U33" s="196"/>
      <c r="V33" s="57"/>
      <c r="W33" s="196"/>
      <c r="X33" s="196"/>
      <c r="Y33" s="57"/>
      <c r="Z33" s="57"/>
      <c r="AA33" s="57"/>
      <c r="AB33" s="57"/>
      <c r="AC33" s="57"/>
      <c r="AD33" s="57"/>
      <c r="AE33" s="57"/>
      <c r="AF33" s="196"/>
      <c r="AG33" s="196">
        <f t="shared" si="4"/>
        <v>14157.6</v>
      </c>
      <c r="AH33" s="196">
        <f t="shared" si="5"/>
        <v>84945.600000000006</v>
      </c>
    </row>
    <row r="34" spans="1:35" s="198" customFormat="1" x14ac:dyDescent="0.25">
      <c r="A34" s="262">
        <v>18</v>
      </c>
      <c r="B34" s="54" t="s">
        <v>130</v>
      </c>
      <c r="C34" s="89" t="s">
        <v>51</v>
      </c>
      <c r="D34" s="54" t="s">
        <v>160</v>
      </c>
      <c r="E34" s="89" t="s">
        <v>81</v>
      </c>
      <c r="F34" s="89" t="s">
        <v>94</v>
      </c>
      <c r="G34" s="91">
        <v>1</v>
      </c>
      <c r="H34" s="91">
        <v>3.64</v>
      </c>
      <c r="I34" s="194">
        <v>17697</v>
      </c>
      <c r="J34" s="196">
        <f t="shared" si="0"/>
        <v>64417.08</v>
      </c>
      <c r="K34" s="196"/>
      <c r="L34" s="196">
        <f t="shared" si="1"/>
        <v>64417.08</v>
      </c>
      <c r="M34" s="196">
        <f t="shared" si="2"/>
        <v>64417.08</v>
      </c>
      <c r="N34" s="196">
        <f t="shared" si="3"/>
        <v>6441.7080000000005</v>
      </c>
      <c r="O34" s="203"/>
      <c r="P34" s="89"/>
      <c r="Q34" s="196"/>
      <c r="R34" s="197">
        <f>G34</f>
        <v>1</v>
      </c>
      <c r="S34" s="89">
        <v>40</v>
      </c>
      <c r="T34" s="196">
        <f>17697*R34*S34/100</f>
        <v>7078.8</v>
      </c>
      <c r="U34" s="196"/>
      <c r="V34" s="57"/>
      <c r="W34" s="196"/>
      <c r="X34" s="196"/>
      <c r="Y34" s="57"/>
      <c r="Z34" s="57"/>
      <c r="AA34" s="57"/>
      <c r="AB34" s="57"/>
      <c r="AC34" s="57"/>
      <c r="AD34" s="203"/>
      <c r="AE34" s="57"/>
      <c r="AF34" s="196"/>
      <c r="AG34" s="196">
        <f t="shared" si="4"/>
        <v>13520.508000000002</v>
      </c>
      <c r="AH34" s="196">
        <f t="shared" si="5"/>
        <v>77937.588000000003</v>
      </c>
    </row>
    <row r="35" spans="1:35" s="51" customFormat="1" x14ac:dyDescent="0.25">
      <c r="A35" s="194">
        <v>19</v>
      </c>
      <c r="B35" s="54" t="s">
        <v>232</v>
      </c>
      <c r="C35" s="89" t="s">
        <v>51</v>
      </c>
      <c r="D35" s="249" t="s">
        <v>173</v>
      </c>
      <c r="E35" s="89" t="s">
        <v>81</v>
      </c>
      <c r="F35" s="89" t="s">
        <v>94</v>
      </c>
      <c r="G35" s="91">
        <v>1</v>
      </c>
      <c r="H35" s="89">
        <v>3.71</v>
      </c>
      <c r="I35" s="194">
        <v>17697</v>
      </c>
      <c r="J35" s="196">
        <f t="shared" si="0"/>
        <v>65655.87</v>
      </c>
      <c r="K35" s="196"/>
      <c r="L35" s="196">
        <f t="shared" si="1"/>
        <v>65655.87</v>
      </c>
      <c r="M35" s="196">
        <f t="shared" si="2"/>
        <v>65655.87</v>
      </c>
      <c r="N35" s="196">
        <f t="shared" si="3"/>
        <v>6565.5869999999995</v>
      </c>
      <c r="O35" s="203"/>
      <c r="P35" s="89"/>
      <c r="Q35" s="196"/>
      <c r="R35" s="197">
        <f>G35</f>
        <v>1</v>
      </c>
      <c r="S35" s="89">
        <v>40</v>
      </c>
      <c r="T35" s="196">
        <f>17697*R35*S35/100</f>
        <v>7078.8</v>
      </c>
      <c r="U35" s="196"/>
      <c r="V35" s="57"/>
      <c r="W35" s="196"/>
      <c r="X35" s="196"/>
      <c r="Y35" s="57"/>
      <c r="Z35" s="57"/>
      <c r="AA35" s="57"/>
      <c r="AB35" s="57"/>
      <c r="AC35" s="57"/>
      <c r="AD35" s="203"/>
      <c r="AE35" s="57"/>
      <c r="AF35" s="196"/>
      <c r="AG35" s="196">
        <f t="shared" si="4"/>
        <v>13644.386999999999</v>
      </c>
      <c r="AH35" s="196">
        <f t="shared" si="5"/>
        <v>79300.256999999998</v>
      </c>
      <c r="AI35" s="64"/>
    </row>
    <row r="36" spans="1:35" s="198" customFormat="1" x14ac:dyDescent="0.25">
      <c r="A36" s="194">
        <v>20</v>
      </c>
      <c r="B36" s="54" t="s">
        <v>311</v>
      </c>
      <c r="C36" s="89" t="s">
        <v>51</v>
      </c>
      <c r="D36" s="54" t="s">
        <v>132</v>
      </c>
      <c r="E36" s="89" t="s">
        <v>53</v>
      </c>
      <c r="F36" s="89" t="s">
        <v>118</v>
      </c>
      <c r="G36" s="91">
        <v>0.5</v>
      </c>
      <c r="H36" s="89">
        <v>5.91</v>
      </c>
      <c r="I36" s="194">
        <v>17697</v>
      </c>
      <c r="J36" s="196">
        <f t="shared" si="0"/>
        <v>104589.27</v>
      </c>
      <c r="K36" s="196"/>
      <c r="L36" s="196">
        <f t="shared" si="1"/>
        <v>104589.27</v>
      </c>
      <c r="M36" s="196">
        <f t="shared" si="2"/>
        <v>52294.635000000002</v>
      </c>
      <c r="N36" s="196">
        <f t="shared" si="3"/>
        <v>5229.4635000000007</v>
      </c>
      <c r="O36" s="203"/>
      <c r="P36" s="89"/>
      <c r="Q36" s="196"/>
      <c r="R36" s="197">
        <f t="shared" si="8"/>
        <v>0.5</v>
      </c>
      <c r="S36" s="89">
        <v>40</v>
      </c>
      <c r="T36" s="196">
        <f>17697*R36*S36/100</f>
        <v>3539.4</v>
      </c>
      <c r="U36" s="196"/>
      <c r="V36" s="57"/>
      <c r="W36" s="196"/>
      <c r="X36" s="196"/>
      <c r="Y36" s="57"/>
      <c r="Z36" s="57"/>
      <c r="AA36" s="57"/>
      <c r="AB36" s="57"/>
      <c r="AC36" s="196"/>
      <c r="AD36" s="196"/>
      <c r="AE36" s="57"/>
      <c r="AF36" s="196"/>
      <c r="AG36" s="196">
        <f t="shared" si="4"/>
        <v>8768.8635000000013</v>
      </c>
      <c r="AH36" s="196">
        <f t="shared" si="5"/>
        <v>61063.498500000002</v>
      </c>
    </row>
    <row r="37" spans="1:35" s="198" customFormat="1" ht="30" x14ac:dyDescent="0.25">
      <c r="A37" s="194">
        <v>21</v>
      </c>
      <c r="B37" s="54" t="s">
        <v>310</v>
      </c>
      <c r="C37" s="89" t="s">
        <v>51</v>
      </c>
      <c r="D37" s="54" t="s">
        <v>96</v>
      </c>
      <c r="E37" s="89" t="s">
        <v>53</v>
      </c>
      <c r="F37" s="89" t="s">
        <v>118</v>
      </c>
      <c r="G37" s="91">
        <v>0.5</v>
      </c>
      <c r="H37" s="89">
        <v>5.99</v>
      </c>
      <c r="I37" s="194">
        <v>17697</v>
      </c>
      <c r="J37" s="196">
        <f t="shared" si="0"/>
        <v>106005.03</v>
      </c>
      <c r="K37" s="196"/>
      <c r="L37" s="196">
        <f t="shared" si="1"/>
        <v>106005.03</v>
      </c>
      <c r="M37" s="196">
        <f t="shared" si="2"/>
        <v>53002.514999999999</v>
      </c>
      <c r="N37" s="196">
        <f t="shared" si="3"/>
        <v>5300.2515000000003</v>
      </c>
      <c r="O37" s="203"/>
      <c r="P37" s="89"/>
      <c r="Q37" s="196"/>
      <c r="R37" s="197">
        <f t="shared" si="8"/>
        <v>0.5</v>
      </c>
      <c r="S37" s="89">
        <v>40</v>
      </c>
      <c r="T37" s="196">
        <f>17697*R37*S37/100</f>
        <v>3539.4</v>
      </c>
      <c r="U37" s="196"/>
      <c r="V37" s="57"/>
      <c r="W37" s="196"/>
      <c r="X37" s="196"/>
      <c r="Y37" s="57"/>
      <c r="Z37" s="57"/>
      <c r="AA37" s="57"/>
      <c r="AB37" s="57"/>
      <c r="AC37" s="196"/>
      <c r="AD37" s="196"/>
      <c r="AE37" s="57"/>
      <c r="AF37" s="196"/>
      <c r="AG37" s="196">
        <f t="shared" si="4"/>
        <v>8839.6514999999999</v>
      </c>
      <c r="AH37" s="196">
        <f t="shared" si="5"/>
        <v>61842.166499999999</v>
      </c>
    </row>
    <row r="38" spans="1:35" s="198" customFormat="1" x14ac:dyDescent="0.25">
      <c r="A38" s="194">
        <v>22</v>
      </c>
      <c r="B38" s="54" t="s">
        <v>71</v>
      </c>
      <c r="C38" s="89" t="s">
        <v>54</v>
      </c>
      <c r="D38" s="54" t="s">
        <v>57</v>
      </c>
      <c r="E38" s="89" t="s">
        <v>57</v>
      </c>
      <c r="F38" s="89">
        <v>2</v>
      </c>
      <c r="G38" s="91">
        <v>1</v>
      </c>
      <c r="H38" s="89">
        <v>2.81</v>
      </c>
      <c r="I38" s="194">
        <v>17697</v>
      </c>
      <c r="J38" s="196">
        <f t="shared" si="0"/>
        <v>49728.57</v>
      </c>
      <c r="K38" s="196"/>
      <c r="L38" s="196">
        <f t="shared" si="1"/>
        <v>49728.57</v>
      </c>
      <c r="M38" s="196">
        <f t="shared" si="2"/>
        <v>49728.57</v>
      </c>
      <c r="N38" s="196">
        <f t="shared" si="3"/>
        <v>4972.857</v>
      </c>
      <c r="O38" s="203"/>
      <c r="P38" s="89"/>
      <c r="Q38" s="196"/>
      <c r="R38" s="197"/>
      <c r="S38" s="89"/>
      <c r="T38" s="196"/>
      <c r="U38" s="196"/>
      <c r="V38" s="57"/>
      <c r="W38" s="196"/>
      <c r="X38" s="196"/>
      <c r="Y38" s="57"/>
      <c r="Z38" s="57"/>
      <c r="AA38" s="57"/>
      <c r="AB38" s="57"/>
      <c r="AC38" s="57"/>
      <c r="AD38" s="57"/>
      <c r="AE38" s="57"/>
      <c r="AF38" s="196"/>
      <c r="AG38" s="196">
        <f t="shared" si="4"/>
        <v>4972.857</v>
      </c>
      <c r="AH38" s="196">
        <f t="shared" si="5"/>
        <v>54701.426999999996</v>
      </c>
    </row>
    <row r="39" spans="1:35" s="198" customFormat="1" x14ac:dyDescent="0.25">
      <c r="A39" s="194"/>
      <c r="B39" s="54" t="s">
        <v>227</v>
      </c>
      <c r="C39" s="89" t="s">
        <v>54</v>
      </c>
      <c r="D39" s="54" t="s">
        <v>241</v>
      </c>
      <c r="E39" s="89" t="s">
        <v>57</v>
      </c>
      <c r="F39" s="89" t="s">
        <v>144</v>
      </c>
      <c r="G39" s="91">
        <v>0.5</v>
      </c>
      <c r="H39" s="91">
        <v>3.04</v>
      </c>
      <c r="I39" s="194">
        <v>17697</v>
      </c>
      <c r="J39" s="196">
        <f t="shared" si="0"/>
        <v>53798.879999999997</v>
      </c>
      <c r="K39" s="196"/>
      <c r="L39" s="196">
        <f t="shared" si="1"/>
        <v>53798.879999999997</v>
      </c>
      <c r="M39" s="196">
        <f t="shared" si="2"/>
        <v>26899.439999999999</v>
      </c>
      <c r="N39" s="196"/>
      <c r="O39" s="203"/>
      <c r="P39" s="89"/>
      <c r="Q39" s="196"/>
      <c r="R39" s="197"/>
      <c r="S39" s="89"/>
      <c r="T39" s="196"/>
      <c r="U39" s="196"/>
      <c r="V39" s="57"/>
      <c r="W39" s="196"/>
      <c r="X39" s="196"/>
      <c r="Y39" s="57"/>
      <c r="Z39" s="57"/>
      <c r="AA39" s="57"/>
      <c r="AB39" s="57"/>
      <c r="AC39" s="57"/>
      <c r="AD39" s="57"/>
      <c r="AE39" s="57"/>
      <c r="AF39" s="196"/>
      <c r="AG39" s="196">
        <f t="shared" si="4"/>
        <v>0</v>
      </c>
      <c r="AH39" s="196">
        <f t="shared" si="5"/>
        <v>26899.439999999999</v>
      </c>
    </row>
    <row r="40" spans="1:35" s="216" customFormat="1" x14ac:dyDescent="0.25">
      <c r="A40" s="194">
        <v>23</v>
      </c>
      <c r="B40" s="54" t="s">
        <v>77</v>
      </c>
      <c r="C40" s="194" t="s">
        <v>54</v>
      </c>
      <c r="D40" s="194" t="s">
        <v>161</v>
      </c>
      <c r="E40" s="89" t="s">
        <v>81</v>
      </c>
      <c r="F40" s="89" t="s">
        <v>108</v>
      </c>
      <c r="G40" s="195">
        <v>1</v>
      </c>
      <c r="H40" s="201">
        <v>3.53</v>
      </c>
      <c r="I40" s="194">
        <v>17697</v>
      </c>
      <c r="J40" s="196">
        <f t="shared" si="0"/>
        <v>62470.409999999996</v>
      </c>
      <c r="K40" s="196"/>
      <c r="L40" s="196">
        <f t="shared" si="1"/>
        <v>62470.409999999996</v>
      </c>
      <c r="M40" s="196">
        <f t="shared" si="2"/>
        <v>62470.409999999996</v>
      </c>
      <c r="N40" s="196">
        <f t="shared" si="3"/>
        <v>6247.0410000000002</v>
      </c>
      <c r="O40" s="196"/>
      <c r="P40" s="194"/>
      <c r="Q40" s="196"/>
      <c r="R40" s="197">
        <f>G40</f>
        <v>1</v>
      </c>
      <c r="S40" s="194">
        <v>40</v>
      </c>
      <c r="T40" s="196">
        <f>17697*R40*S40/100</f>
        <v>7078.8</v>
      </c>
      <c r="U40" s="215"/>
      <c r="V40" s="196"/>
      <c r="W40" s="196"/>
      <c r="X40" s="196"/>
      <c r="Y40" s="196"/>
      <c r="Z40" s="196"/>
      <c r="AA40" s="196"/>
      <c r="AB40" s="196"/>
      <c r="AC40" s="196"/>
      <c r="AD40" s="196"/>
      <c r="AE40" s="196"/>
      <c r="AF40" s="214"/>
      <c r="AG40" s="196">
        <f t="shared" si="4"/>
        <v>13325.841</v>
      </c>
      <c r="AH40" s="196">
        <f t="shared" si="5"/>
        <v>75796.250999999989</v>
      </c>
    </row>
    <row r="41" spans="1:35" s="198" customFormat="1" x14ac:dyDescent="0.25">
      <c r="A41" s="194"/>
      <c r="B41" s="54" t="s">
        <v>227</v>
      </c>
      <c r="C41" s="194" t="s">
        <v>54</v>
      </c>
      <c r="D41" s="149" t="s">
        <v>161</v>
      </c>
      <c r="E41" s="89" t="s">
        <v>57</v>
      </c>
      <c r="F41" s="89" t="s">
        <v>144</v>
      </c>
      <c r="G41" s="91">
        <v>0.5</v>
      </c>
      <c r="H41" s="91">
        <v>3.12</v>
      </c>
      <c r="I41" s="194">
        <v>17697</v>
      </c>
      <c r="J41" s="196">
        <f>I41*H41</f>
        <v>55214.64</v>
      </c>
      <c r="K41" s="210"/>
      <c r="L41" s="196">
        <f>J41+K41</f>
        <v>55214.64</v>
      </c>
      <c r="M41" s="196">
        <f>L41*G41</f>
        <v>27607.32</v>
      </c>
      <c r="N41" s="196"/>
      <c r="O41" s="210"/>
      <c r="P41" s="211"/>
      <c r="Q41" s="210"/>
      <c r="R41" s="197"/>
      <c r="S41" s="212"/>
      <c r="T41" s="196"/>
      <c r="U41" s="212"/>
      <c r="V41" s="212"/>
      <c r="W41" s="212"/>
      <c r="X41" s="213"/>
      <c r="Y41" s="212"/>
      <c r="Z41" s="210"/>
      <c r="AA41" s="210"/>
      <c r="AB41" s="212"/>
      <c r="AC41" s="57"/>
      <c r="AD41" s="203"/>
      <c r="AE41" s="57"/>
      <c r="AF41" s="196"/>
      <c r="AG41" s="196">
        <f t="shared" si="4"/>
        <v>0</v>
      </c>
      <c r="AH41" s="196">
        <f t="shared" si="5"/>
        <v>27607.32</v>
      </c>
    </row>
    <row r="42" spans="1:35" s="198" customFormat="1" x14ac:dyDescent="0.25">
      <c r="A42" s="194">
        <v>24</v>
      </c>
      <c r="B42" s="54" t="s">
        <v>72</v>
      </c>
      <c r="C42" s="89" t="s">
        <v>54</v>
      </c>
      <c r="D42" s="89" t="s">
        <v>57</v>
      </c>
      <c r="E42" s="89" t="s">
        <v>57</v>
      </c>
      <c r="F42" s="89">
        <v>3</v>
      </c>
      <c r="G42" s="91">
        <v>1</v>
      </c>
      <c r="H42" s="89">
        <v>2.84</v>
      </c>
      <c r="I42" s="194">
        <v>17697</v>
      </c>
      <c r="J42" s="196">
        <f t="shared" si="0"/>
        <v>50259.479999999996</v>
      </c>
      <c r="K42" s="196"/>
      <c r="L42" s="196">
        <f t="shared" si="1"/>
        <v>50259.479999999996</v>
      </c>
      <c r="M42" s="196">
        <f t="shared" si="2"/>
        <v>50259.479999999996</v>
      </c>
      <c r="N42" s="196">
        <f t="shared" si="3"/>
        <v>5025.9480000000003</v>
      </c>
      <c r="O42" s="203"/>
      <c r="P42" s="89"/>
      <c r="Q42" s="196"/>
      <c r="R42" s="197"/>
      <c r="S42" s="89"/>
      <c r="T42" s="196"/>
      <c r="U42" s="196"/>
      <c r="V42" s="57"/>
      <c r="W42" s="196"/>
      <c r="X42" s="196"/>
      <c r="Y42" s="57"/>
      <c r="Z42" s="57"/>
      <c r="AA42" s="57"/>
      <c r="AB42" s="57"/>
      <c r="AC42" s="57"/>
      <c r="AD42" s="57"/>
      <c r="AE42" s="57"/>
      <c r="AF42" s="196"/>
      <c r="AG42" s="196">
        <f t="shared" si="4"/>
        <v>5025.9480000000003</v>
      </c>
      <c r="AH42" s="196">
        <f t="shared" si="5"/>
        <v>55285.428</v>
      </c>
    </row>
    <row r="43" spans="1:35" s="198" customFormat="1" x14ac:dyDescent="0.25">
      <c r="A43" s="194">
        <v>25</v>
      </c>
      <c r="B43" s="54" t="s">
        <v>73</v>
      </c>
      <c r="C43" s="89" t="s">
        <v>57</v>
      </c>
      <c r="D43" s="89" t="s">
        <v>57</v>
      </c>
      <c r="E43" s="89" t="s">
        <v>57</v>
      </c>
      <c r="F43" s="89">
        <v>5</v>
      </c>
      <c r="G43" s="91">
        <v>1</v>
      </c>
      <c r="H43" s="91">
        <v>2.92</v>
      </c>
      <c r="I43" s="194">
        <v>17697</v>
      </c>
      <c r="J43" s="196">
        <f t="shared" si="0"/>
        <v>51675.24</v>
      </c>
      <c r="K43" s="196"/>
      <c r="L43" s="196">
        <f t="shared" si="1"/>
        <v>51675.24</v>
      </c>
      <c r="M43" s="196">
        <f t="shared" si="2"/>
        <v>51675.24</v>
      </c>
      <c r="N43" s="196">
        <f t="shared" si="3"/>
        <v>5167.5240000000003</v>
      </c>
      <c r="O43" s="203"/>
      <c r="P43" s="89"/>
      <c r="Q43" s="196"/>
      <c r="R43" s="197"/>
      <c r="S43" s="89"/>
      <c r="T43" s="196"/>
      <c r="U43" s="197"/>
      <c r="V43" s="57">
        <v>35</v>
      </c>
      <c r="W43" s="196">
        <f>17697*U43*V43/100</f>
        <v>0</v>
      </c>
      <c r="X43" s="196"/>
      <c r="Y43" s="57"/>
      <c r="Z43" s="57"/>
      <c r="AA43" s="57"/>
      <c r="AB43" s="57"/>
      <c r="AC43" s="57"/>
      <c r="AD43" s="57"/>
      <c r="AE43" s="57"/>
      <c r="AF43" s="196"/>
      <c r="AG43" s="196">
        <f t="shared" si="4"/>
        <v>5167.5240000000003</v>
      </c>
      <c r="AH43" s="196">
        <f t="shared" si="5"/>
        <v>56842.763999999996</v>
      </c>
    </row>
    <row r="44" spans="1:35" s="198" customFormat="1" x14ac:dyDescent="0.25">
      <c r="A44" s="194">
        <v>26</v>
      </c>
      <c r="B44" s="54" t="s">
        <v>73</v>
      </c>
      <c r="C44" s="89" t="s">
        <v>57</v>
      </c>
      <c r="D44" s="89" t="s">
        <v>57</v>
      </c>
      <c r="E44" s="89" t="s">
        <v>57</v>
      </c>
      <c r="F44" s="89">
        <v>5</v>
      </c>
      <c r="G44" s="91">
        <v>1</v>
      </c>
      <c r="H44" s="91">
        <v>2.92</v>
      </c>
      <c r="I44" s="194">
        <v>17697</v>
      </c>
      <c r="J44" s="196">
        <f t="shared" si="0"/>
        <v>51675.24</v>
      </c>
      <c r="K44" s="196"/>
      <c r="L44" s="196">
        <f t="shared" si="1"/>
        <v>51675.24</v>
      </c>
      <c r="M44" s="196">
        <f t="shared" si="2"/>
        <v>51675.24</v>
      </c>
      <c r="N44" s="196">
        <f t="shared" si="3"/>
        <v>5167.5240000000003</v>
      </c>
      <c r="O44" s="203"/>
      <c r="P44" s="89"/>
      <c r="Q44" s="196"/>
      <c r="R44" s="197"/>
      <c r="S44" s="89"/>
      <c r="T44" s="196"/>
      <c r="U44" s="197"/>
      <c r="V44" s="57">
        <v>35</v>
      </c>
      <c r="W44" s="196">
        <f>17697*U44*V44/100</f>
        <v>0</v>
      </c>
      <c r="X44" s="196"/>
      <c r="Y44" s="57"/>
      <c r="Z44" s="57"/>
      <c r="AA44" s="57"/>
      <c r="AB44" s="57"/>
      <c r="AC44" s="57"/>
      <c r="AD44" s="57"/>
      <c r="AE44" s="57"/>
      <c r="AF44" s="196"/>
      <c r="AG44" s="196">
        <f t="shared" si="4"/>
        <v>5167.5240000000003</v>
      </c>
      <c r="AH44" s="196">
        <f t="shared" si="5"/>
        <v>56842.763999999996</v>
      </c>
    </row>
    <row r="45" spans="1:35" s="198" customFormat="1" x14ac:dyDescent="0.25">
      <c r="A45" s="194">
        <v>27</v>
      </c>
      <c r="B45" s="54" t="s">
        <v>78</v>
      </c>
      <c r="C45" s="89" t="s">
        <v>54</v>
      </c>
      <c r="D45" s="89" t="s">
        <v>57</v>
      </c>
      <c r="E45" s="89" t="s">
        <v>57</v>
      </c>
      <c r="F45" s="89">
        <v>4</v>
      </c>
      <c r="G45" s="91">
        <v>1.5</v>
      </c>
      <c r="H45" s="91">
        <v>2.89</v>
      </c>
      <c r="I45" s="194">
        <v>17697</v>
      </c>
      <c r="J45" s="196">
        <f t="shared" si="0"/>
        <v>51144.33</v>
      </c>
      <c r="K45" s="196"/>
      <c r="L45" s="196">
        <f t="shared" si="1"/>
        <v>51144.33</v>
      </c>
      <c r="M45" s="196">
        <f t="shared" si="2"/>
        <v>76716.494999999995</v>
      </c>
      <c r="N45" s="196">
        <f>M45*10%/1.5</f>
        <v>5114.433</v>
      </c>
      <c r="O45" s="203"/>
      <c r="P45" s="89"/>
      <c r="Q45" s="196"/>
      <c r="R45" s="197"/>
      <c r="S45" s="89"/>
      <c r="T45" s="196"/>
      <c r="U45" s="196"/>
      <c r="V45" s="57"/>
      <c r="W45" s="196"/>
      <c r="X45" s="196"/>
      <c r="Y45" s="57"/>
      <c r="Z45" s="57"/>
      <c r="AA45" s="196"/>
      <c r="AB45" s="57"/>
      <c r="AC45" s="57"/>
      <c r="AD45" s="203"/>
      <c r="AE45" s="57"/>
      <c r="AF45" s="196"/>
      <c r="AG45" s="196">
        <f t="shared" si="4"/>
        <v>5114.433</v>
      </c>
      <c r="AH45" s="196">
        <f t="shared" si="5"/>
        <v>81830.928</v>
      </c>
    </row>
    <row r="46" spans="1:35" s="198" customFormat="1" x14ac:dyDescent="0.25">
      <c r="A46" s="194">
        <v>28</v>
      </c>
      <c r="B46" s="54" t="s">
        <v>133</v>
      </c>
      <c r="C46" s="89" t="s">
        <v>57</v>
      </c>
      <c r="D46" s="89" t="s">
        <v>57</v>
      </c>
      <c r="E46" s="89" t="s">
        <v>57</v>
      </c>
      <c r="F46" s="89">
        <v>2</v>
      </c>
      <c r="G46" s="91">
        <v>1</v>
      </c>
      <c r="H46" s="89">
        <v>2.81</v>
      </c>
      <c r="I46" s="194">
        <v>17697</v>
      </c>
      <c r="J46" s="196">
        <f t="shared" si="0"/>
        <v>49728.57</v>
      </c>
      <c r="K46" s="196"/>
      <c r="L46" s="196">
        <f t="shared" si="1"/>
        <v>49728.57</v>
      </c>
      <c r="M46" s="196">
        <f t="shared" si="2"/>
        <v>49728.57</v>
      </c>
      <c r="N46" s="196">
        <f t="shared" si="3"/>
        <v>4972.857</v>
      </c>
      <c r="O46" s="203"/>
      <c r="P46" s="89"/>
      <c r="Q46" s="196"/>
      <c r="R46" s="197"/>
      <c r="S46" s="89"/>
      <c r="T46" s="196"/>
      <c r="U46" s="196"/>
      <c r="V46" s="57"/>
      <c r="W46" s="196"/>
      <c r="X46" s="203"/>
      <c r="Y46" s="57"/>
      <c r="Z46" s="196"/>
      <c r="AA46" s="196"/>
      <c r="AB46" s="57"/>
      <c r="AC46" s="57"/>
      <c r="AD46" s="203">
        <v>1</v>
      </c>
      <c r="AE46" s="57">
        <v>30</v>
      </c>
      <c r="AF46" s="196">
        <f>17697*AD46*AE46/100</f>
        <v>5309.1</v>
      </c>
      <c r="AG46" s="196">
        <f t="shared" si="4"/>
        <v>10281.957</v>
      </c>
      <c r="AH46" s="196">
        <f t="shared" si="5"/>
        <v>60010.527000000002</v>
      </c>
    </row>
    <row r="47" spans="1:35" s="198" customFormat="1" x14ac:dyDescent="0.25">
      <c r="A47" s="194">
        <v>29</v>
      </c>
      <c r="B47" s="54" t="s">
        <v>127</v>
      </c>
      <c r="C47" s="89" t="s">
        <v>57</v>
      </c>
      <c r="D47" s="89" t="s">
        <v>57</v>
      </c>
      <c r="E47" s="89" t="s">
        <v>57</v>
      </c>
      <c r="F47" s="89">
        <v>2</v>
      </c>
      <c r="G47" s="91">
        <v>0.5</v>
      </c>
      <c r="H47" s="89">
        <v>2.81</v>
      </c>
      <c r="I47" s="194">
        <v>17697</v>
      </c>
      <c r="J47" s="196">
        <f t="shared" si="0"/>
        <v>49728.57</v>
      </c>
      <c r="K47" s="196"/>
      <c r="L47" s="196">
        <f t="shared" si="1"/>
        <v>49728.57</v>
      </c>
      <c r="M47" s="196">
        <f t="shared" si="2"/>
        <v>24864.285</v>
      </c>
      <c r="N47" s="196"/>
      <c r="O47" s="203"/>
      <c r="P47" s="89"/>
      <c r="Q47" s="196"/>
      <c r="R47" s="197"/>
      <c r="S47" s="89"/>
      <c r="T47" s="196"/>
      <c r="U47" s="196"/>
      <c r="V47" s="57"/>
      <c r="W47" s="196"/>
      <c r="X47" s="196"/>
      <c r="Y47" s="57"/>
      <c r="Z47" s="57"/>
      <c r="AA47" s="196"/>
      <c r="AB47" s="57"/>
      <c r="AC47" s="57"/>
      <c r="AD47" s="203"/>
      <c r="AE47" s="57"/>
      <c r="AF47" s="196"/>
      <c r="AG47" s="196">
        <f t="shared" si="4"/>
        <v>0</v>
      </c>
      <c r="AH47" s="196">
        <f t="shared" si="5"/>
        <v>24864.285</v>
      </c>
    </row>
    <row r="48" spans="1:35" s="198" customFormat="1" x14ac:dyDescent="0.25">
      <c r="A48" s="194">
        <v>30</v>
      </c>
      <c r="B48" s="54" t="s">
        <v>229</v>
      </c>
      <c r="C48" s="89" t="s">
        <v>57</v>
      </c>
      <c r="D48" s="89" t="s">
        <v>57</v>
      </c>
      <c r="E48" s="89" t="s">
        <v>57</v>
      </c>
      <c r="F48" s="89">
        <v>2</v>
      </c>
      <c r="G48" s="91">
        <v>1</v>
      </c>
      <c r="H48" s="89">
        <v>2.81</v>
      </c>
      <c r="I48" s="194">
        <v>17697</v>
      </c>
      <c r="J48" s="196">
        <f t="shared" si="0"/>
        <v>49728.57</v>
      </c>
      <c r="K48" s="196"/>
      <c r="L48" s="196">
        <f t="shared" si="1"/>
        <v>49728.57</v>
      </c>
      <c r="M48" s="196">
        <f t="shared" si="2"/>
        <v>49728.57</v>
      </c>
      <c r="N48" s="196">
        <f t="shared" si="3"/>
        <v>4972.857</v>
      </c>
      <c r="O48" s="203"/>
      <c r="P48" s="89"/>
      <c r="Q48" s="196"/>
      <c r="R48" s="197"/>
      <c r="S48" s="89"/>
      <c r="T48" s="196"/>
      <c r="U48" s="196"/>
      <c r="V48" s="57"/>
      <c r="W48" s="196"/>
      <c r="X48" s="196"/>
      <c r="Y48" s="57"/>
      <c r="Z48" s="57"/>
      <c r="AA48" s="196"/>
      <c r="AB48" s="57"/>
      <c r="AC48" s="57"/>
      <c r="AD48" s="203"/>
      <c r="AE48" s="57"/>
      <c r="AF48" s="196"/>
      <c r="AG48" s="196">
        <f t="shared" si="4"/>
        <v>4972.857</v>
      </c>
      <c r="AH48" s="196">
        <f t="shared" si="5"/>
        <v>54701.426999999996</v>
      </c>
    </row>
    <row r="49" spans="1:34" s="198" customFormat="1" x14ac:dyDescent="0.25">
      <c r="A49" s="194">
        <v>31</v>
      </c>
      <c r="B49" s="54" t="s">
        <v>79</v>
      </c>
      <c r="C49" s="89" t="s">
        <v>57</v>
      </c>
      <c r="D49" s="89" t="s">
        <v>57</v>
      </c>
      <c r="E49" s="89" t="s">
        <v>57</v>
      </c>
      <c r="F49" s="89">
        <v>2</v>
      </c>
      <c r="G49" s="91">
        <v>1</v>
      </c>
      <c r="H49" s="89">
        <v>2.81</v>
      </c>
      <c r="I49" s="194">
        <v>17697</v>
      </c>
      <c r="J49" s="196">
        <f t="shared" si="0"/>
        <v>49728.57</v>
      </c>
      <c r="K49" s="196"/>
      <c r="L49" s="196">
        <f t="shared" si="1"/>
        <v>49728.57</v>
      </c>
      <c r="M49" s="196">
        <f t="shared" si="2"/>
        <v>49728.57</v>
      </c>
      <c r="N49" s="196">
        <f t="shared" si="3"/>
        <v>4972.857</v>
      </c>
      <c r="O49" s="203"/>
      <c r="P49" s="89"/>
      <c r="Q49" s="196"/>
      <c r="R49" s="197"/>
      <c r="S49" s="89"/>
      <c r="T49" s="196"/>
      <c r="U49" s="196"/>
      <c r="V49" s="57"/>
      <c r="W49" s="196"/>
      <c r="X49" s="196"/>
      <c r="Y49" s="57"/>
      <c r="Z49" s="57"/>
      <c r="AA49" s="196"/>
      <c r="AB49" s="57"/>
      <c r="AC49" s="57"/>
      <c r="AD49" s="203"/>
      <c r="AE49" s="57"/>
      <c r="AF49" s="196"/>
      <c r="AG49" s="196">
        <f t="shared" si="4"/>
        <v>4972.857</v>
      </c>
      <c r="AH49" s="196">
        <f t="shared" si="5"/>
        <v>54701.426999999996</v>
      </c>
    </row>
    <row r="50" spans="1:34" s="198" customFormat="1" x14ac:dyDescent="0.25">
      <c r="A50" s="194">
        <v>32</v>
      </c>
      <c r="B50" s="54" t="s">
        <v>83</v>
      </c>
      <c r="C50" s="89" t="s">
        <v>57</v>
      </c>
      <c r="D50" s="89" t="s">
        <v>57</v>
      </c>
      <c r="E50" s="89" t="s">
        <v>57</v>
      </c>
      <c r="F50" s="89">
        <v>1</v>
      </c>
      <c r="G50" s="91">
        <v>1</v>
      </c>
      <c r="H50" s="91">
        <v>2.77</v>
      </c>
      <c r="I50" s="194">
        <v>17697</v>
      </c>
      <c r="J50" s="196">
        <f t="shared" si="0"/>
        <v>49020.69</v>
      </c>
      <c r="K50" s="210"/>
      <c r="L50" s="196">
        <f t="shared" si="1"/>
        <v>49020.69</v>
      </c>
      <c r="M50" s="196">
        <f t="shared" si="2"/>
        <v>49020.69</v>
      </c>
      <c r="N50" s="196">
        <f t="shared" si="3"/>
        <v>4902.0690000000004</v>
      </c>
      <c r="O50" s="210"/>
      <c r="P50" s="211"/>
      <c r="Q50" s="210"/>
      <c r="R50" s="197"/>
      <c r="S50" s="212"/>
      <c r="T50" s="196"/>
      <c r="U50" s="212"/>
      <c r="V50" s="212"/>
      <c r="W50" s="212"/>
      <c r="X50" s="213"/>
      <c r="Y50" s="212"/>
      <c r="Z50" s="210"/>
      <c r="AA50" s="210"/>
      <c r="AB50" s="212"/>
      <c r="AC50" s="57"/>
      <c r="AD50" s="203"/>
      <c r="AE50" s="57"/>
      <c r="AF50" s="196"/>
      <c r="AG50" s="196">
        <f t="shared" si="4"/>
        <v>4902.0690000000004</v>
      </c>
      <c r="AH50" s="196">
        <f t="shared" si="5"/>
        <v>53922.759000000005</v>
      </c>
    </row>
    <row r="51" spans="1:34" s="198" customFormat="1" ht="45" x14ac:dyDescent="0.25">
      <c r="A51" s="194">
        <v>33</v>
      </c>
      <c r="B51" s="54" t="s">
        <v>116</v>
      </c>
      <c r="C51" s="89" t="s">
        <v>54</v>
      </c>
      <c r="D51" s="89" t="s">
        <v>145</v>
      </c>
      <c r="E51" s="211" t="s">
        <v>57</v>
      </c>
      <c r="F51" s="89" t="s">
        <v>144</v>
      </c>
      <c r="G51" s="91">
        <v>0.5</v>
      </c>
      <c r="H51" s="89">
        <v>2.75</v>
      </c>
      <c r="I51" s="194">
        <v>17697</v>
      </c>
      <c r="J51" s="196">
        <f t="shared" si="0"/>
        <v>48666.75</v>
      </c>
      <c r="K51" s="196"/>
      <c r="L51" s="196">
        <f t="shared" si="1"/>
        <v>48666.75</v>
      </c>
      <c r="M51" s="196">
        <f t="shared" si="2"/>
        <v>24333.375</v>
      </c>
      <c r="N51" s="196">
        <f t="shared" si="3"/>
        <v>2433.3375000000001</v>
      </c>
      <c r="O51" s="203"/>
      <c r="P51" s="89"/>
      <c r="Q51" s="196"/>
      <c r="R51" s="197"/>
      <c r="S51" s="89"/>
      <c r="T51" s="196"/>
      <c r="U51" s="196"/>
      <c r="V51" s="57"/>
      <c r="W51" s="196"/>
      <c r="X51" s="196"/>
      <c r="Y51" s="57"/>
      <c r="Z51" s="57"/>
      <c r="AA51" s="57"/>
      <c r="AB51" s="57"/>
      <c r="AC51" s="57"/>
      <c r="AD51" s="203"/>
      <c r="AE51" s="57"/>
      <c r="AF51" s="196"/>
      <c r="AG51" s="196">
        <f t="shared" si="4"/>
        <v>2433.3375000000001</v>
      </c>
      <c r="AH51" s="196">
        <f t="shared" si="5"/>
        <v>26766.712500000001</v>
      </c>
    </row>
    <row r="52" spans="1:34" s="198" customFormat="1" ht="30" x14ac:dyDescent="0.25">
      <c r="A52" s="194">
        <v>34</v>
      </c>
      <c r="B52" s="54" t="s">
        <v>230</v>
      </c>
      <c r="C52" s="89" t="s">
        <v>87</v>
      </c>
      <c r="D52" s="89" t="s">
        <v>143</v>
      </c>
      <c r="E52" s="211" t="s">
        <v>57</v>
      </c>
      <c r="F52" s="89" t="s">
        <v>144</v>
      </c>
      <c r="G52" s="91">
        <v>1</v>
      </c>
      <c r="H52" s="91">
        <v>2.57</v>
      </c>
      <c r="I52" s="194">
        <v>17697</v>
      </c>
      <c r="J52" s="196">
        <f t="shared" si="0"/>
        <v>45481.289999999994</v>
      </c>
      <c r="K52" s="196"/>
      <c r="L52" s="196">
        <f t="shared" si="1"/>
        <v>45481.289999999994</v>
      </c>
      <c r="M52" s="196">
        <f t="shared" si="2"/>
        <v>45481.289999999994</v>
      </c>
      <c r="N52" s="196">
        <f t="shared" si="3"/>
        <v>4548.1289999999999</v>
      </c>
      <c r="O52" s="203"/>
      <c r="P52" s="89"/>
      <c r="Q52" s="196"/>
      <c r="R52" s="197"/>
      <c r="S52" s="89"/>
      <c r="T52" s="196"/>
      <c r="U52" s="196"/>
      <c r="V52" s="57"/>
      <c r="W52" s="196"/>
      <c r="X52" s="196"/>
      <c r="Y52" s="57"/>
      <c r="Z52" s="57"/>
      <c r="AA52" s="57"/>
      <c r="AB52" s="57"/>
      <c r="AC52" s="57"/>
      <c r="AD52" s="203"/>
      <c r="AE52" s="57"/>
      <c r="AF52" s="196"/>
      <c r="AG52" s="196">
        <f t="shared" si="4"/>
        <v>4548.1289999999999</v>
      </c>
      <c r="AH52" s="196">
        <f t="shared" si="5"/>
        <v>50029.418999999994</v>
      </c>
    </row>
    <row r="53" spans="1:34" s="198" customFormat="1" x14ac:dyDescent="0.25">
      <c r="A53" s="194">
        <v>35</v>
      </c>
      <c r="B53" s="54" t="s">
        <v>309</v>
      </c>
      <c r="C53" s="89" t="s">
        <v>57</v>
      </c>
      <c r="D53" s="89" t="s">
        <v>57</v>
      </c>
      <c r="E53" s="211" t="s">
        <v>57</v>
      </c>
      <c r="F53" s="89">
        <v>3</v>
      </c>
      <c r="G53" s="91">
        <v>1</v>
      </c>
      <c r="H53" s="89">
        <v>2.84</v>
      </c>
      <c r="I53" s="194">
        <v>17697</v>
      </c>
      <c r="J53" s="196">
        <f t="shared" si="0"/>
        <v>50259.479999999996</v>
      </c>
      <c r="K53" s="196"/>
      <c r="L53" s="196">
        <f t="shared" si="1"/>
        <v>50259.479999999996</v>
      </c>
      <c r="M53" s="196">
        <f t="shared" si="2"/>
        <v>50259.479999999996</v>
      </c>
      <c r="N53" s="196">
        <f t="shared" si="3"/>
        <v>5025.9480000000003</v>
      </c>
      <c r="O53" s="203"/>
      <c r="P53" s="89"/>
      <c r="Q53" s="196"/>
      <c r="R53" s="203"/>
      <c r="S53" s="89"/>
      <c r="T53" s="196"/>
      <c r="U53" s="57"/>
      <c r="V53" s="57"/>
      <c r="W53" s="57"/>
      <c r="X53" s="57"/>
      <c r="Y53" s="57"/>
      <c r="Z53" s="57"/>
      <c r="AA53" s="203"/>
      <c r="AB53" s="57"/>
      <c r="AC53" s="196"/>
      <c r="AD53" s="217"/>
      <c r="AE53" s="196"/>
      <c r="AF53" s="218"/>
      <c r="AG53" s="196">
        <f t="shared" si="4"/>
        <v>5025.9480000000003</v>
      </c>
      <c r="AH53" s="196">
        <f t="shared" si="5"/>
        <v>55285.428</v>
      </c>
    </row>
    <row r="54" spans="1:34" s="198" customFormat="1" x14ac:dyDescent="0.25">
      <c r="A54" s="194">
        <v>36</v>
      </c>
      <c r="B54" s="54" t="s">
        <v>120</v>
      </c>
      <c r="C54" s="89" t="s">
        <v>51</v>
      </c>
      <c r="D54" s="194" t="s">
        <v>153</v>
      </c>
      <c r="E54" s="211" t="s">
        <v>57</v>
      </c>
      <c r="F54" s="89" t="s">
        <v>144</v>
      </c>
      <c r="G54" s="91">
        <v>1</v>
      </c>
      <c r="H54" s="91">
        <v>3.25</v>
      </c>
      <c r="I54" s="194">
        <v>17697</v>
      </c>
      <c r="J54" s="196">
        <f t="shared" si="0"/>
        <v>57515.25</v>
      </c>
      <c r="K54" s="196"/>
      <c r="L54" s="196">
        <f t="shared" si="1"/>
        <v>57515.25</v>
      </c>
      <c r="M54" s="196">
        <f t="shared" si="2"/>
        <v>57515.25</v>
      </c>
      <c r="N54" s="196">
        <f t="shared" si="3"/>
        <v>5751.5250000000005</v>
      </c>
      <c r="O54" s="203"/>
      <c r="P54" s="89"/>
      <c r="Q54" s="196"/>
      <c r="R54" s="197"/>
      <c r="S54" s="89"/>
      <c r="T54" s="196"/>
      <c r="U54" s="196"/>
      <c r="V54" s="57"/>
      <c r="W54" s="196"/>
      <c r="X54" s="196"/>
      <c r="Y54" s="57"/>
      <c r="Z54" s="57"/>
      <c r="AA54" s="57"/>
      <c r="AB54" s="57"/>
      <c r="AC54" s="57"/>
      <c r="AD54" s="57"/>
      <c r="AE54" s="57"/>
      <c r="AF54" s="196"/>
      <c r="AG54" s="196">
        <f t="shared" si="4"/>
        <v>5751.5250000000005</v>
      </c>
      <c r="AH54" s="196">
        <f t="shared" si="5"/>
        <v>63266.775000000001</v>
      </c>
    </row>
    <row r="55" spans="1:34" s="198" customFormat="1" x14ac:dyDescent="0.25">
      <c r="A55" s="194">
        <v>37</v>
      </c>
      <c r="B55" s="54" t="s">
        <v>242</v>
      </c>
      <c r="C55" s="211" t="s">
        <v>57</v>
      </c>
      <c r="D55" s="211" t="s">
        <v>57</v>
      </c>
      <c r="E55" s="211" t="s">
        <v>57</v>
      </c>
      <c r="F55" s="89">
        <v>2</v>
      </c>
      <c r="G55" s="91">
        <v>0.5</v>
      </c>
      <c r="H55" s="89">
        <v>2.81</v>
      </c>
      <c r="I55" s="194">
        <v>17697</v>
      </c>
      <c r="J55" s="196">
        <f t="shared" si="0"/>
        <v>49728.57</v>
      </c>
      <c r="K55" s="196"/>
      <c r="L55" s="196">
        <f t="shared" si="1"/>
        <v>49728.57</v>
      </c>
      <c r="M55" s="196">
        <f t="shared" si="2"/>
        <v>24864.285</v>
      </c>
      <c r="N55" s="277"/>
      <c r="O55" s="203"/>
      <c r="P55" s="89"/>
      <c r="Q55" s="196"/>
      <c r="R55" s="197"/>
      <c r="S55" s="89"/>
      <c r="T55" s="196"/>
      <c r="U55" s="196"/>
      <c r="V55" s="57"/>
      <c r="W55" s="196"/>
      <c r="X55" s="196"/>
      <c r="Y55" s="57"/>
      <c r="Z55" s="57"/>
      <c r="AA55" s="57"/>
      <c r="AB55" s="57"/>
      <c r="AC55" s="57"/>
      <c r="AD55" s="203">
        <v>0.5</v>
      </c>
      <c r="AE55" s="57">
        <v>22</v>
      </c>
      <c r="AF55" s="196">
        <f>17697*AD55*AE55/100</f>
        <v>1946.67</v>
      </c>
      <c r="AG55" s="196">
        <f t="shared" si="4"/>
        <v>1946.67</v>
      </c>
      <c r="AH55" s="196">
        <f t="shared" si="5"/>
        <v>26810.955000000002</v>
      </c>
    </row>
    <row r="56" spans="1:34" s="198" customFormat="1" x14ac:dyDescent="0.25">
      <c r="A56" s="194">
        <v>38</v>
      </c>
      <c r="B56" s="54" t="s">
        <v>128</v>
      </c>
      <c r="C56" s="89" t="s">
        <v>57</v>
      </c>
      <c r="D56" s="89" t="s">
        <v>57</v>
      </c>
      <c r="E56" s="54" t="s">
        <v>57</v>
      </c>
      <c r="F56" s="89">
        <v>3</v>
      </c>
      <c r="G56" s="91">
        <v>1</v>
      </c>
      <c r="H56" s="91">
        <v>2.84</v>
      </c>
      <c r="I56" s="194">
        <v>17697</v>
      </c>
      <c r="J56" s="196">
        <f t="shared" si="0"/>
        <v>50259.479999999996</v>
      </c>
      <c r="K56" s="196"/>
      <c r="L56" s="196">
        <f t="shared" si="1"/>
        <v>50259.479999999996</v>
      </c>
      <c r="M56" s="196">
        <f t="shared" si="2"/>
        <v>50259.479999999996</v>
      </c>
      <c r="N56" s="196">
        <f t="shared" si="3"/>
        <v>5025.9480000000003</v>
      </c>
      <c r="O56" s="203"/>
      <c r="P56" s="89"/>
      <c r="Q56" s="196"/>
      <c r="R56" s="197"/>
      <c r="S56" s="89"/>
      <c r="T56" s="196"/>
      <c r="U56" s="196"/>
      <c r="V56" s="57"/>
      <c r="W56" s="196"/>
      <c r="X56" s="196"/>
      <c r="Y56" s="57"/>
      <c r="Z56" s="57"/>
      <c r="AA56" s="57"/>
      <c r="AB56" s="57"/>
      <c r="AC56" s="57"/>
      <c r="AD56" s="57"/>
      <c r="AE56" s="57"/>
      <c r="AF56" s="196"/>
      <c r="AG56" s="196">
        <f t="shared" si="4"/>
        <v>5025.9480000000003</v>
      </c>
      <c r="AH56" s="196">
        <f t="shared" si="5"/>
        <v>55285.428</v>
      </c>
    </row>
    <row r="57" spans="1:34" s="221" customFormat="1" ht="42.75" x14ac:dyDescent="0.2">
      <c r="A57" s="219"/>
      <c r="B57" s="150" t="s">
        <v>226</v>
      </c>
      <c r="C57" s="188"/>
      <c r="D57" s="188"/>
      <c r="E57" s="188"/>
      <c r="F57" s="188"/>
      <c r="G57" s="189">
        <f>'прилож к респуб 2019'!G16</f>
        <v>6</v>
      </c>
      <c r="H57" s="189"/>
      <c r="I57" s="219"/>
      <c r="J57" s="217">
        <f>'прилож к респуб 2019'!J16</f>
        <v>787162.56</v>
      </c>
      <c r="K57" s="217"/>
      <c r="L57" s="217">
        <f>'прилож к респуб 2019'!L16</f>
        <v>787162.56</v>
      </c>
      <c r="M57" s="217">
        <f>'прилож к респуб 2019'!N16</f>
        <v>435611.65500000003</v>
      </c>
      <c r="N57" s="217">
        <f>'прилож к респуб 2019'!O16</f>
        <v>29545.141500000002</v>
      </c>
      <c r="O57" s="220"/>
      <c r="P57" s="188"/>
      <c r="Q57" s="217"/>
      <c r="R57" s="222">
        <f>G57</f>
        <v>6</v>
      </c>
      <c r="S57" s="188">
        <v>40</v>
      </c>
      <c r="T57" s="217">
        <f>'прилож к респуб 2019'!R16</f>
        <v>42472.80000000001</v>
      </c>
      <c r="U57" s="217"/>
      <c r="V57" s="152"/>
      <c r="W57" s="217"/>
      <c r="X57" s="217"/>
      <c r="Y57" s="152"/>
      <c r="Z57" s="152"/>
      <c r="AA57" s="152"/>
      <c r="AB57" s="152"/>
      <c r="AC57" s="152"/>
      <c r="AD57" s="220"/>
      <c r="AE57" s="152"/>
      <c r="AF57" s="217"/>
      <c r="AG57" s="217">
        <f>'прилож к респуб 2019'!S16</f>
        <v>72017.941500000001</v>
      </c>
      <c r="AH57" s="217">
        <f>'прилож к респуб 2019'!T16</f>
        <v>507629.59649999999</v>
      </c>
    </row>
    <row r="58" spans="1:34" s="221" customFormat="1" ht="42.75" x14ac:dyDescent="0.2">
      <c r="A58" s="219"/>
      <c r="B58" s="150" t="s">
        <v>70</v>
      </c>
      <c r="C58" s="188" t="s">
        <v>57</v>
      </c>
      <c r="D58" s="188" t="s">
        <v>57</v>
      </c>
      <c r="E58" s="188" t="s">
        <v>57</v>
      </c>
      <c r="F58" s="188" t="s">
        <v>57</v>
      </c>
      <c r="G58" s="189">
        <f>'прилож 2019'!G10</f>
        <v>4</v>
      </c>
      <c r="H58" s="189"/>
      <c r="I58" s="219"/>
      <c r="J58" s="217">
        <f>'прилож 2019'!J10</f>
        <v>276781.08</v>
      </c>
      <c r="K58" s="217"/>
      <c r="L58" s="217">
        <f>'прилож 2019'!L10</f>
        <v>276781.08</v>
      </c>
      <c r="M58" s="217">
        <f>'прилож 2019'!M10</f>
        <v>276781.08</v>
      </c>
      <c r="N58" s="190">
        <f>'прилож 2019'!N10</f>
        <v>27678.108000000004</v>
      </c>
      <c r="O58" s="220"/>
      <c r="P58" s="188"/>
      <c r="Q58" s="217"/>
      <c r="R58" s="190">
        <f>'прилож 2019'!R10</f>
        <v>4</v>
      </c>
      <c r="S58" s="190">
        <v>40</v>
      </c>
      <c r="T58" s="190">
        <f>'прилож 2019'!T10</f>
        <v>28315.200000000001</v>
      </c>
      <c r="U58" s="217"/>
      <c r="V58" s="152"/>
      <c r="W58" s="217"/>
      <c r="X58" s="190">
        <f>'прилож 2019'!X10</f>
        <v>4</v>
      </c>
      <c r="Y58" s="152">
        <v>50</v>
      </c>
      <c r="Z58" s="190">
        <f>'прилож 2019'!W10</f>
        <v>53516.583444108757</v>
      </c>
      <c r="AA58" s="152">
        <f>'прилож 2019'!X10</f>
        <v>4</v>
      </c>
      <c r="AB58" s="152">
        <v>50</v>
      </c>
      <c r="AC58" s="190">
        <f>'прилож 2019'!Z10</f>
        <v>20068.718791540785</v>
      </c>
      <c r="AD58" s="217"/>
      <c r="AE58" s="152"/>
      <c r="AF58" s="217"/>
      <c r="AG58" s="190">
        <f>'прилож 2019'!AD10</f>
        <v>129578.61023564955</v>
      </c>
      <c r="AH58" s="190">
        <f>'прилож 2019'!AE10</f>
        <v>406359.69023564958</v>
      </c>
    </row>
    <row r="59" spans="1:34" s="221" customFormat="1" ht="28.5" x14ac:dyDescent="0.2">
      <c r="A59" s="219"/>
      <c r="B59" s="150" t="s">
        <v>228</v>
      </c>
      <c r="C59" s="188" t="s">
        <v>57</v>
      </c>
      <c r="D59" s="188" t="s">
        <v>57</v>
      </c>
      <c r="E59" s="188" t="s">
        <v>57</v>
      </c>
      <c r="F59" s="188" t="s">
        <v>57</v>
      </c>
      <c r="G59" s="189">
        <f>'прилож 2019'!G21</f>
        <v>10</v>
      </c>
      <c r="H59" s="189"/>
      <c r="I59" s="219"/>
      <c r="J59" s="217">
        <f>'прилож 2019'!J21</f>
        <v>564357.33000000007</v>
      </c>
      <c r="K59" s="217"/>
      <c r="L59" s="217">
        <f>'прилож 2019'!L21</f>
        <v>564357.33000000007</v>
      </c>
      <c r="M59" s="217">
        <f>'прилож 2019'!M21</f>
        <v>566923.39500000002</v>
      </c>
      <c r="N59" s="217">
        <f>'прилож 2019'!N21</f>
        <v>39782.856000000007</v>
      </c>
      <c r="O59" s="220"/>
      <c r="P59" s="188"/>
      <c r="Q59" s="217"/>
      <c r="R59" s="217">
        <f>'прилож 2019'!R21</f>
        <v>10</v>
      </c>
      <c r="S59" s="188">
        <v>40</v>
      </c>
      <c r="T59" s="217">
        <f>'прилож 2019'!T21</f>
        <v>70788.000000000015</v>
      </c>
      <c r="U59" s="217"/>
      <c r="V59" s="152"/>
      <c r="W59" s="217"/>
      <c r="X59" s="217">
        <f>'прилож 2019'!X21</f>
        <v>4.5</v>
      </c>
      <c r="Y59" s="152">
        <v>50</v>
      </c>
      <c r="Z59" s="217">
        <f>'прилож 2019'!W21</f>
        <v>81994.317824773418</v>
      </c>
      <c r="AA59" s="152">
        <f>'прилож 2019'!X21</f>
        <v>4.5</v>
      </c>
      <c r="AB59" s="152">
        <v>50</v>
      </c>
      <c r="AC59" s="152">
        <f>'прилож 2019'!Z21</f>
        <v>7516.1458006042303</v>
      </c>
      <c r="AD59" s="217"/>
      <c r="AE59" s="152"/>
      <c r="AF59" s="217"/>
      <c r="AG59" s="217">
        <f>'прилож 2019'!AD21</f>
        <v>200081.31962537763</v>
      </c>
      <c r="AH59" s="217">
        <f>'прилож 2019'!AE21</f>
        <v>767004.71462537767</v>
      </c>
    </row>
    <row r="60" spans="1:34" s="221" customFormat="1" ht="14.25" x14ac:dyDescent="0.2">
      <c r="A60" s="219"/>
      <c r="B60" s="188" t="s">
        <v>90</v>
      </c>
      <c r="C60" s="188" t="s">
        <v>57</v>
      </c>
      <c r="D60" s="188" t="s">
        <v>57</v>
      </c>
      <c r="E60" s="188" t="s">
        <v>57</v>
      </c>
      <c r="F60" s="188" t="s">
        <v>57</v>
      </c>
      <c r="G60" s="189">
        <f>'прилож 2019'!G24</f>
        <v>2.5</v>
      </c>
      <c r="H60" s="188"/>
      <c r="I60" s="219"/>
      <c r="J60" s="217">
        <f>'прилож 2019'!J24</f>
        <v>101403.81</v>
      </c>
      <c r="K60" s="217"/>
      <c r="L60" s="217">
        <f>'прилож 2019'!L24</f>
        <v>101403.81</v>
      </c>
      <c r="M60" s="217">
        <f>'прилож 2019'!M24</f>
        <v>126754.7625</v>
      </c>
      <c r="N60" s="217">
        <f>'прилож 2019'!N24</f>
        <v>10140.381000000001</v>
      </c>
      <c r="O60" s="220"/>
      <c r="P60" s="188"/>
      <c r="Q60" s="217"/>
      <c r="R60" s="222"/>
      <c r="S60" s="188"/>
      <c r="T60" s="217"/>
      <c r="U60" s="222"/>
      <c r="V60" s="152"/>
      <c r="W60" s="217"/>
      <c r="X60" s="217"/>
      <c r="Y60" s="152"/>
      <c r="Z60" s="152"/>
      <c r="AA60" s="223">
        <f>'прилож 2019'!X24</f>
        <v>2.5</v>
      </c>
      <c r="AB60" s="152">
        <v>50</v>
      </c>
      <c r="AC60" s="152">
        <f>'прилож 2019'!Z24</f>
        <v>3982.6269788519635</v>
      </c>
      <c r="AD60" s="223">
        <f>'прилож 2019'!AA24</f>
        <v>2.5</v>
      </c>
      <c r="AE60" s="223"/>
      <c r="AF60" s="152">
        <f>'прилож 2019'!AC24</f>
        <v>13272.75</v>
      </c>
      <c r="AG60" s="217">
        <f>'прилож 2019'!AD24</f>
        <v>27395.757978851965</v>
      </c>
      <c r="AH60" s="217">
        <f>'прилож 2019'!AE24</f>
        <v>154150.52047885198</v>
      </c>
    </row>
    <row r="61" spans="1:34" s="221" customFormat="1" ht="14.25" x14ac:dyDescent="0.2">
      <c r="A61" s="219"/>
      <c r="B61" s="150" t="s">
        <v>240</v>
      </c>
      <c r="C61" s="188" t="s">
        <v>57</v>
      </c>
      <c r="D61" s="188" t="s">
        <v>57</v>
      </c>
      <c r="E61" s="188" t="s">
        <v>57</v>
      </c>
      <c r="F61" s="188" t="s">
        <v>57</v>
      </c>
      <c r="G61" s="189">
        <f>'прилож 2019'!G27</f>
        <v>3</v>
      </c>
      <c r="H61" s="188"/>
      <c r="I61" s="219"/>
      <c r="J61" s="217">
        <f>'прилож 2019'!J27</f>
        <v>99457.14</v>
      </c>
      <c r="K61" s="217"/>
      <c r="L61" s="217">
        <f>'прилож 2019'!L27</f>
        <v>99457.14</v>
      </c>
      <c r="M61" s="217">
        <f>'прилож 2019'!M27</f>
        <v>149185.71</v>
      </c>
      <c r="N61" s="217">
        <f>'прилож 2019'!N27</f>
        <v>9945.7139999999999</v>
      </c>
      <c r="O61" s="220"/>
      <c r="P61" s="188"/>
      <c r="Q61" s="217"/>
      <c r="R61" s="222"/>
      <c r="S61" s="188"/>
      <c r="T61" s="217"/>
      <c r="U61" s="222"/>
      <c r="V61" s="152"/>
      <c r="W61" s="217"/>
      <c r="X61" s="217"/>
      <c r="Y61" s="152"/>
      <c r="Z61" s="152"/>
      <c r="AA61" s="217">
        <f>'прилож 2019'!AA27</f>
        <v>3</v>
      </c>
      <c r="AB61" s="152">
        <v>50</v>
      </c>
      <c r="AC61" s="217">
        <f>'прилож 2019'!Z27</f>
        <v>3004.747432024169</v>
      </c>
      <c r="AD61" s="217">
        <f>'прилож 2019'!AA27</f>
        <v>3</v>
      </c>
      <c r="AE61" s="217"/>
      <c r="AF61" s="217">
        <f>'прилож 2019'!AC27</f>
        <v>15927.3</v>
      </c>
      <c r="AG61" s="217">
        <f>'прилож 2019'!AD27</f>
        <v>28877.76143202417</v>
      </c>
      <c r="AH61" s="217">
        <f>'прилож 2019'!AE27</f>
        <v>178063.47143202415</v>
      </c>
    </row>
    <row r="62" spans="1:34" s="221" customFormat="1" ht="57" x14ac:dyDescent="0.2">
      <c r="A62" s="219"/>
      <c r="B62" s="150" t="s">
        <v>91</v>
      </c>
      <c r="C62" s="188" t="s">
        <v>57</v>
      </c>
      <c r="D62" s="188" t="s">
        <v>57</v>
      </c>
      <c r="E62" s="188" t="s">
        <v>57</v>
      </c>
      <c r="F62" s="188" t="s">
        <v>57</v>
      </c>
      <c r="G62" s="189">
        <f>'прилож 2019'!G32</f>
        <v>2</v>
      </c>
      <c r="H62" s="188"/>
      <c r="I62" s="219"/>
      <c r="J62" s="217">
        <f>'прилож 2019'!J32</f>
        <v>201037.91999999998</v>
      </c>
      <c r="K62" s="217"/>
      <c r="L62" s="217">
        <f>'прилож 2019'!L32</f>
        <v>201037.91999999998</v>
      </c>
      <c r="M62" s="217">
        <f>'прилож 2019'!M32</f>
        <v>100518.95999999999</v>
      </c>
      <c r="N62" s="190">
        <f>'прилож 2019'!N32</f>
        <v>0</v>
      </c>
      <c r="O62" s="220"/>
      <c r="P62" s="188"/>
      <c r="Q62" s="217"/>
      <c r="R62" s="222"/>
      <c r="S62" s="188"/>
      <c r="T62" s="217"/>
      <c r="U62" s="217"/>
      <c r="V62" s="152"/>
      <c r="W62" s="217"/>
      <c r="X62" s="217"/>
      <c r="Y62" s="152"/>
      <c r="Z62" s="152"/>
      <c r="AA62" s="217"/>
      <c r="AB62" s="152"/>
      <c r="AC62" s="152"/>
      <c r="AD62" s="220"/>
      <c r="AE62" s="152"/>
      <c r="AF62" s="217"/>
      <c r="AG62" s="190">
        <f>'прилож 2019'!AD32</f>
        <v>0</v>
      </c>
      <c r="AH62" s="190">
        <f>'прилож 2019'!AE32</f>
        <v>100518.95999999999</v>
      </c>
    </row>
    <row r="63" spans="1:34" s="221" customFormat="1" ht="28.5" x14ac:dyDescent="0.2">
      <c r="A63" s="219"/>
      <c r="B63" s="150" t="s">
        <v>239</v>
      </c>
      <c r="C63" s="188" t="s">
        <v>57</v>
      </c>
      <c r="D63" s="188" t="s">
        <v>57</v>
      </c>
      <c r="E63" s="188" t="s">
        <v>57</v>
      </c>
      <c r="F63" s="188" t="s">
        <v>57</v>
      </c>
      <c r="G63" s="189">
        <f>'прилож 2019'!G38</f>
        <v>6.5</v>
      </c>
      <c r="H63" s="188"/>
      <c r="I63" s="219"/>
      <c r="J63" s="217">
        <f>'прилож 2019'!J38</f>
        <v>248642.85</v>
      </c>
      <c r="K63" s="217"/>
      <c r="L63" s="217">
        <f>'прилож 2019'!L38</f>
        <v>248642.85</v>
      </c>
      <c r="M63" s="217">
        <f>'прилож 2019'!M38</f>
        <v>323235.70499999996</v>
      </c>
      <c r="N63" s="217">
        <f>'прилож 2019'!N38</f>
        <v>24864.285</v>
      </c>
      <c r="O63" s="220"/>
      <c r="P63" s="188"/>
      <c r="Q63" s="217"/>
      <c r="R63" s="222"/>
      <c r="S63" s="188"/>
      <c r="T63" s="217"/>
      <c r="U63" s="217"/>
      <c r="V63" s="152"/>
      <c r="W63" s="217"/>
      <c r="X63" s="217"/>
      <c r="Y63" s="152"/>
      <c r="Z63" s="152"/>
      <c r="AA63" s="217"/>
      <c r="AB63" s="152"/>
      <c r="AC63" s="152"/>
      <c r="AD63" s="224">
        <f>'прилож 2019'!AA38</f>
        <v>6.5</v>
      </c>
      <c r="AE63" s="217"/>
      <c r="AF63" s="217">
        <f>'прилож 2019'!AC38</f>
        <v>34509.15</v>
      </c>
      <c r="AG63" s="217">
        <f>'прилож 2019'!AD38</f>
        <v>59373.434999999998</v>
      </c>
      <c r="AH63" s="217">
        <f>'прилож 2019'!AE38</f>
        <v>382609.14</v>
      </c>
    </row>
    <row r="64" spans="1:34" s="221" customFormat="1" ht="29.25" x14ac:dyDescent="0.25">
      <c r="A64" s="219"/>
      <c r="B64" s="150" t="s">
        <v>231</v>
      </c>
      <c r="C64" s="188" t="s">
        <v>57</v>
      </c>
      <c r="D64" s="188" t="s">
        <v>57</v>
      </c>
      <c r="E64" s="225" t="s">
        <v>57</v>
      </c>
      <c r="F64" s="188" t="s">
        <v>57</v>
      </c>
      <c r="G64" s="189">
        <f>'прилож 2019'!G42</f>
        <v>2</v>
      </c>
      <c r="H64" s="188"/>
      <c r="I64" s="219"/>
      <c r="J64" s="217">
        <f>'прилож 2019'!J42</f>
        <v>149185.71</v>
      </c>
      <c r="K64" s="217"/>
      <c r="L64" s="217">
        <f>'прилож 2019'!L42</f>
        <v>149185.71</v>
      </c>
      <c r="M64" s="217">
        <f>'прилож 2019'!M42</f>
        <v>99457.14</v>
      </c>
      <c r="N64" s="217">
        <f>'прилож 2019'!N42</f>
        <v>4972.857</v>
      </c>
      <c r="O64" s="220"/>
      <c r="P64" s="188"/>
      <c r="Q64" s="217"/>
      <c r="R64" s="222"/>
      <c r="S64" s="188"/>
      <c r="T64" s="217"/>
      <c r="U64" s="217"/>
      <c r="V64" s="152"/>
      <c r="W64" s="217"/>
      <c r="X64" s="217"/>
      <c r="Y64" s="152"/>
      <c r="Z64" s="152"/>
      <c r="AA64" s="152"/>
      <c r="AB64" s="152"/>
      <c r="AC64" s="152"/>
      <c r="AD64" s="220">
        <f>'прилож 2019'!AA42</f>
        <v>2</v>
      </c>
      <c r="AE64" s="220"/>
      <c r="AF64" s="152">
        <f>'прилож 2019'!AC42</f>
        <v>10618.2</v>
      </c>
      <c r="AG64" s="217">
        <f>'прилож 2019'!AD42</f>
        <v>15591.057000000001</v>
      </c>
      <c r="AH64" s="217">
        <f>'прилож 2019'!AE42</f>
        <v>115048.19699999999</v>
      </c>
    </row>
    <row r="65" spans="1:34" s="221" customFormat="1" x14ac:dyDescent="0.25">
      <c r="A65" s="219"/>
      <c r="B65" s="150" t="s">
        <v>60</v>
      </c>
      <c r="C65" s="225" t="s">
        <v>57</v>
      </c>
      <c r="D65" s="225" t="s">
        <v>57</v>
      </c>
      <c r="E65" s="225" t="s">
        <v>57</v>
      </c>
      <c r="F65" s="188" t="s">
        <v>57</v>
      </c>
      <c r="G65" s="189">
        <f>'прилож 2019'!G46</f>
        <v>3</v>
      </c>
      <c r="H65" s="188"/>
      <c r="I65" s="219"/>
      <c r="J65" s="217">
        <f>'прилож 2019'!J46</f>
        <v>149185.71</v>
      </c>
      <c r="K65" s="226"/>
      <c r="L65" s="217">
        <f>'прилож 2019'!L46</f>
        <v>149185.71</v>
      </c>
      <c r="M65" s="217">
        <f>'прилож 2019'!M46</f>
        <v>149185.71</v>
      </c>
      <c r="N65" s="217">
        <f>'прилож 2019'!N46</f>
        <v>14918.571</v>
      </c>
      <c r="O65" s="226"/>
      <c r="P65" s="225"/>
      <c r="Q65" s="226"/>
      <c r="R65" s="222"/>
      <c r="S65" s="227"/>
      <c r="T65" s="217"/>
      <c r="U65" s="227"/>
      <c r="V65" s="227"/>
      <c r="W65" s="227"/>
      <c r="X65" s="220">
        <f>'прилож 2019'!U46</f>
        <v>3</v>
      </c>
      <c r="Y65" s="152">
        <v>50</v>
      </c>
      <c r="Z65" s="217">
        <f>'прилож 2019'!W46</f>
        <v>36100.595281306712</v>
      </c>
      <c r="AA65" s="220">
        <f>'прилож 2019'!X46</f>
        <v>3</v>
      </c>
      <c r="AB65" s="152">
        <v>50</v>
      </c>
      <c r="AC65" s="217">
        <f>'прилож 2019'!Z46</f>
        <v>10817.090755287009</v>
      </c>
      <c r="AD65" s="220"/>
      <c r="AE65" s="152"/>
      <c r="AF65" s="217"/>
      <c r="AG65" s="217">
        <f>'прилож 2019'!AD46</f>
        <v>61836.257036593714</v>
      </c>
      <c r="AH65" s="217">
        <f>'прилож 2019'!AE46</f>
        <v>211021.96703659371</v>
      </c>
    </row>
    <row r="66" spans="1:34" x14ac:dyDescent="0.25">
      <c r="A66" s="187"/>
      <c r="B66" s="188" t="s">
        <v>25</v>
      </c>
      <c r="C66" s="188" t="s">
        <v>25</v>
      </c>
      <c r="D66" s="188" t="s">
        <v>25</v>
      </c>
      <c r="E66" s="188" t="s">
        <v>25</v>
      </c>
      <c r="F66" s="188" t="s">
        <v>25</v>
      </c>
      <c r="G66" s="189">
        <f>SUM(G13:G65)</f>
        <v>76.5</v>
      </c>
      <c r="H66" s="189"/>
      <c r="I66" s="189"/>
      <c r="J66" s="190">
        <f>SUM(J13:J65)</f>
        <v>5621805.9899999984</v>
      </c>
      <c r="K66" s="190">
        <f>SUM(K13:K56)</f>
        <v>0</v>
      </c>
      <c r="L66" s="190">
        <f>SUM(L13:L65)</f>
        <v>5621805.9899999984</v>
      </c>
      <c r="M66" s="190">
        <f>SUM(M13:M65)</f>
        <v>4814613.9654000001</v>
      </c>
      <c r="N66" s="190">
        <f>SUM(N13:N65)</f>
        <v>393025.06328999996</v>
      </c>
      <c r="O66" s="190">
        <f>SUM(O13:O65)</f>
        <v>1</v>
      </c>
      <c r="P66" s="190"/>
      <c r="Q66" s="190">
        <f>SUM(Q13:Q65)</f>
        <v>5309.0999999999995</v>
      </c>
      <c r="R66" s="190">
        <f>SUM(R13:R65)</f>
        <v>35</v>
      </c>
      <c r="S66" s="190"/>
      <c r="T66" s="190">
        <f>SUM(T13:T65)</f>
        <v>247758.00000000006</v>
      </c>
      <c r="U66" s="190"/>
      <c r="V66" s="190"/>
      <c r="W66" s="190"/>
      <c r="X66" s="190">
        <f>SUM(X13:X65)</f>
        <v>11.5</v>
      </c>
      <c r="Y66" s="190"/>
      <c r="Z66" s="190">
        <f>SUM(Z13:Z65)</f>
        <v>171611.49655018889</v>
      </c>
      <c r="AA66" s="190">
        <f>SUM(AA13:AA65)</f>
        <v>17</v>
      </c>
      <c r="AB66" s="190"/>
      <c r="AC66" s="190">
        <f>SUM(AC13:AC65)</f>
        <v>45389.329758308158</v>
      </c>
      <c r="AD66" s="190">
        <f>SUM(AD13:AD65)</f>
        <v>15.5</v>
      </c>
      <c r="AE66" s="190"/>
      <c r="AF66" s="190">
        <f>SUM(AF13:AF65)</f>
        <v>81583.17</v>
      </c>
      <c r="AG66" s="190">
        <f>SUM(AG13:AG65)</f>
        <v>966284.15959849721</v>
      </c>
      <c r="AH66" s="190">
        <f>SUM(AH13:AH65)+62167</f>
        <v>5843065.1249984959</v>
      </c>
    </row>
    <row r="67" spans="1:34" x14ac:dyDescent="0.25">
      <c r="A67" s="191"/>
      <c r="B67" s="84"/>
      <c r="C67" s="84"/>
      <c r="D67" s="84"/>
      <c r="E67" s="84"/>
      <c r="F67" s="84"/>
      <c r="G67" s="192"/>
      <c r="H67" s="193"/>
      <c r="I67" s="193"/>
      <c r="J67" s="193"/>
      <c r="K67" s="193"/>
      <c r="L67" s="193"/>
      <c r="M67" s="193"/>
      <c r="N67" s="193"/>
      <c r="O67" s="193"/>
      <c r="P67" s="193"/>
      <c r="Q67" s="193"/>
      <c r="R67" s="193"/>
      <c r="S67" s="193"/>
      <c r="T67" s="193"/>
      <c r="U67" s="193"/>
      <c r="V67" s="193"/>
      <c r="W67" s="193"/>
      <c r="X67" s="193"/>
      <c r="Y67" s="193"/>
      <c r="Z67" s="193"/>
      <c r="AA67" s="193"/>
      <c r="AB67" s="193"/>
      <c r="AC67" s="193"/>
      <c r="AD67" s="193"/>
      <c r="AE67" s="193"/>
      <c r="AF67" s="193"/>
      <c r="AG67" s="193"/>
      <c r="AH67" s="193"/>
    </row>
    <row r="68" spans="1:34" x14ac:dyDescent="0.25">
      <c r="A68" s="191"/>
      <c r="B68" s="84"/>
      <c r="C68" s="84"/>
      <c r="D68" s="84"/>
      <c r="E68" s="84"/>
      <c r="F68" s="84"/>
      <c r="G68" s="192"/>
      <c r="H68" s="193"/>
      <c r="I68" s="193"/>
      <c r="J68" s="193"/>
      <c r="K68" s="193"/>
      <c r="L68" s="193"/>
      <c r="M68" s="193"/>
      <c r="N68" s="193"/>
      <c r="O68" s="193"/>
      <c r="P68" s="193"/>
      <c r="Q68" s="193"/>
      <c r="R68" s="193"/>
      <c r="S68" s="193"/>
      <c r="T68" s="193"/>
      <c r="U68" s="193"/>
      <c r="V68" s="193"/>
      <c r="W68" s="193"/>
      <c r="X68" s="193"/>
      <c r="Y68" s="193"/>
      <c r="Z68" s="193"/>
      <c r="AA68" s="193"/>
      <c r="AB68" s="193"/>
      <c r="AC68" s="193"/>
      <c r="AD68" s="193"/>
      <c r="AE68" s="193"/>
      <c r="AF68" s="193"/>
      <c r="AG68" s="193"/>
      <c r="AH68" s="193"/>
    </row>
    <row r="69" spans="1:34" x14ac:dyDescent="0.25">
      <c r="A69" s="75"/>
      <c r="B69" s="63"/>
      <c r="C69" s="118" t="s">
        <v>19</v>
      </c>
      <c r="D69" s="115"/>
      <c r="E69" s="115"/>
      <c r="F69" s="118"/>
      <c r="G69" s="118"/>
      <c r="H69" s="115"/>
      <c r="I69" s="115" t="s">
        <v>88</v>
      </c>
      <c r="J69" s="49"/>
      <c r="K69" s="50"/>
      <c r="L69" s="50"/>
      <c r="M69" s="50"/>
      <c r="N69" s="50"/>
      <c r="O69" s="118"/>
      <c r="P69" s="118"/>
      <c r="Q69" s="50"/>
      <c r="R69" s="68"/>
      <c r="S69" s="50"/>
      <c r="T69" s="50"/>
      <c r="U69" s="118"/>
      <c r="V69" s="118"/>
      <c r="W69" s="50"/>
      <c r="X69" s="118"/>
      <c r="Y69" s="118"/>
      <c r="Z69" s="50"/>
      <c r="AA69" s="50"/>
      <c r="AB69" s="50"/>
      <c r="AC69" s="69"/>
      <c r="AD69" s="69"/>
      <c r="AE69" s="69"/>
      <c r="AF69" s="69"/>
      <c r="AG69" s="69"/>
      <c r="AH69" s="69"/>
    </row>
    <row r="70" spans="1:34" x14ac:dyDescent="0.25">
      <c r="A70" s="67"/>
      <c r="B70" s="64"/>
      <c r="C70" s="51"/>
      <c r="D70" s="335" t="s">
        <v>29</v>
      </c>
      <c r="E70" s="335"/>
      <c r="F70" s="51"/>
      <c r="G70" s="51"/>
      <c r="H70" s="335" t="s">
        <v>30</v>
      </c>
      <c r="I70" s="335"/>
      <c r="J70" s="335"/>
      <c r="K70" s="51"/>
      <c r="L70" s="51"/>
      <c r="M70" s="51"/>
      <c r="N70" s="51"/>
      <c r="O70" s="51"/>
      <c r="P70" s="51"/>
      <c r="Q70" s="70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67"/>
      <c r="AD70" s="67"/>
      <c r="AE70" s="67"/>
      <c r="AF70" s="67"/>
      <c r="AG70" s="67"/>
      <c r="AH70" s="67"/>
    </row>
    <row r="71" spans="1:34" x14ac:dyDescent="0.25">
      <c r="A71" s="53"/>
      <c r="B71" s="63"/>
      <c r="C71" s="118" t="s">
        <v>20</v>
      </c>
      <c r="D71" s="115"/>
      <c r="E71" s="115"/>
      <c r="F71" s="118"/>
      <c r="G71" s="118"/>
      <c r="H71" s="298" t="s">
        <v>115</v>
      </c>
      <c r="I71" s="298"/>
      <c r="J71" s="298"/>
      <c r="K71" s="118"/>
      <c r="L71" s="118"/>
      <c r="M71" s="118"/>
      <c r="N71" s="118"/>
      <c r="O71" s="118"/>
      <c r="P71" s="118"/>
      <c r="Q71" s="50"/>
      <c r="R71" s="118"/>
      <c r="S71" s="118"/>
      <c r="T71" s="71"/>
      <c r="U71" s="118"/>
      <c r="V71" s="118"/>
      <c r="W71" s="118"/>
      <c r="X71" s="118"/>
      <c r="Y71" s="118"/>
      <c r="Z71" s="118"/>
      <c r="AA71" s="118"/>
      <c r="AB71" s="118"/>
      <c r="AC71" s="53"/>
      <c r="AD71" s="53"/>
      <c r="AE71" s="53"/>
      <c r="AF71" s="53"/>
      <c r="AG71" s="53"/>
      <c r="AH71" s="53"/>
    </row>
    <row r="72" spans="1:34" x14ac:dyDescent="0.25">
      <c r="A72" s="67"/>
      <c r="B72" s="64"/>
      <c r="C72" s="51"/>
      <c r="D72" s="335" t="s">
        <v>29</v>
      </c>
      <c r="E72" s="335"/>
      <c r="F72" s="51"/>
      <c r="G72" s="51"/>
      <c r="H72" s="335" t="s">
        <v>30</v>
      </c>
      <c r="I72" s="335"/>
      <c r="J72" s="335"/>
      <c r="K72" s="51"/>
      <c r="L72" s="51"/>
      <c r="M72" s="51"/>
      <c r="N72" s="51"/>
      <c r="O72" s="51"/>
      <c r="P72" s="51"/>
      <c r="Q72" s="70"/>
      <c r="R72" s="51"/>
      <c r="S72" s="51"/>
      <c r="T72" s="72"/>
      <c r="U72" s="51"/>
      <c r="V72" s="51"/>
      <c r="W72" s="51"/>
      <c r="X72" s="51"/>
      <c r="Y72" s="51"/>
      <c r="Z72" s="51"/>
      <c r="AA72" s="51"/>
      <c r="AB72" s="51"/>
      <c r="AC72" s="67"/>
      <c r="AD72" s="67"/>
      <c r="AE72" s="67"/>
      <c r="AF72" s="67"/>
      <c r="AG72" s="67"/>
      <c r="AH72" s="67"/>
    </row>
    <row r="73" spans="1:34" x14ac:dyDescent="0.25">
      <c r="A73" s="53"/>
      <c r="B73" s="64"/>
      <c r="C73" s="118" t="s">
        <v>265</v>
      </c>
      <c r="D73" s="115"/>
      <c r="E73" s="115"/>
      <c r="F73" s="51"/>
      <c r="G73" s="51"/>
      <c r="H73" s="298" t="s">
        <v>92</v>
      </c>
      <c r="I73" s="298"/>
      <c r="J73" s="298"/>
      <c r="K73" s="51"/>
      <c r="L73" s="51"/>
      <c r="M73" s="51"/>
      <c r="N73" s="51"/>
      <c r="O73" s="51"/>
      <c r="P73" s="51"/>
      <c r="Q73" s="70"/>
      <c r="R73" s="51"/>
      <c r="S73" s="51"/>
      <c r="T73" s="72"/>
      <c r="U73" s="51"/>
      <c r="V73" s="51"/>
      <c r="W73" s="51"/>
      <c r="X73" s="51"/>
      <c r="Y73" s="51"/>
      <c r="Z73" s="51"/>
      <c r="AA73" s="51"/>
      <c r="AB73" s="51"/>
      <c r="AC73" s="53"/>
      <c r="AD73" s="53"/>
      <c r="AE73" s="53"/>
      <c r="AF73" s="53"/>
      <c r="AG73" s="53"/>
      <c r="AH73" s="53"/>
    </row>
    <row r="74" spans="1:34" x14ac:dyDescent="0.25">
      <c r="A74" s="53"/>
      <c r="B74" s="65"/>
      <c r="C74" s="52"/>
      <c r="D74" s="335" t="s">
        <v>29</v>
      </c>
      <c r="E74" s="335"/>
      <c r="F74" s="51"/>
      <c r="G74" s="51"/>
      <c r="H74" s="335" t="s">
        <v>30</v>
      </c>
      <c r="I74" s="335"/>
      <c r="J74" s="335"/>
      <c r="K74" s="51"/>
      <c r="L74" s="51"/>
      <c r="M74" s="51"/>
      <c r="N74" s="51"/>
      <c r="O74" s="51"/>
      <c r="P74" s="51"/>
      <c r="Q74" s="70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3"/>
      <c r="AD74" s="53"/>
      <c r="AE74" s="53"/>
      <c r="AF74" s="53"/>
      <c r="AG74" s="53"/>
      <c r="AH74" s="53"/>
    </row>
    <row r="75" spans="1:34" x14ac:dyDescent="0.25">
      <c r="A75" s="53"/>
      <c r="B75" s="65"/>
      <c r="C75" s="52"/>
      <c r="D75" s="183"/>
      <c r="E75" s="183"/>
      <c r="F75" s="51"/>
      <c r="G75" s="51"/>
      <c r="H75" s="183"/>
      <c r="I75" s="183"/>
      <c r="J75" s="183"/>
      <c r="K75" s="51"/>
      <c r="L75" s="51"/>
      <c r="M75" s="51"/>
      <c r="N75" s="51"/>
      <c r="O75" s="51"/>
      <c r="P75" s="51"/>
      <c r="Q75" s="70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3"/>
      <c r="AD75" s="53"/>
      <c r="AE75" s="53"/>
      <c r="AF75" s="53"/>
      <c r="AG75" s="53"/>
      <c r="AH75" s="53"/>
    </row>
    <row r="76" spans="1:34" x14ac:dyDescent="0.25">
      <c r="A76" s="53"/>
      <c r="B76" s="65"/>
      <c r="C76" s="52"/>
      <c r="D76" s="183"/>
      <c r="E76" s="183"/>
      <c r="F76" s="51"/>
      <c r="G76" s="51"/>
      <c r="H76" s="183"/>
      <c r="I76" s="183"/>
      <c r="J76" s="183"/>
      <c r="K76" s="51"/>
      <c r="L76" s="51"/>
      <c r="M76" s="51"/>
      <c r="N76" s="51"/>
      <c r="O76" s="51"/>
      <c r="P76" s="51"/>
      <c r="Q76" s="70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3"/>
      <c r="AD76" s="53"/>
      <c r="AE76" s="53"/>
      <c r="AF76" s="53"/>
      <c r="AG76" s="53"/>
      <c r="AH76" s="53"/>
    </row>
    <row r="77" spans="1:34" x14ac:dyDescent="0.25">
      <c r="A77" s="53"/>
      <c r="B77" s="65"/>
      <c r="C77" s="52"/>
      <c r="D77" s="183"/>
      <c r="E77" s="183"/>
      <c r="F77" s="51"/>
      <c r="G77" s="51"/>
      <c r="H77" s="183"/>
      <c r="I77" s="183"/>
      <c r="J77" s="183"/>
      <c r="K77" s="51"/>
      <c r="L77" s="51"/>
      <c r="M77" s="51"/>
      <c r="N77" s="51"/>
      <c r="O77" s="51"/>
      <c r="P77" s="51"/>
      <c r="Q77" s="70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3"/>
      <c r="AD77" s="53"/>
      <c r="AE77" s="53"/>
      <c r="AF77" s="53"/>
      <c r="AG77" s="53"/>
      <c r="AH77" s="53"/>
    </row>
    <row r="78" spans="1:34" x14ac:dyDescent="0.25">
      <c r="A78" s="53"/>
      <c r="B78" s="65"/>
      <c r="C78" s="52"/>
      <c r="D78" s="183"/>
      <c r="E78" s="183"/>
      <c r="F78" s="51"/>
      <c r="G78" s="51"/>
      <c r="H78" s="183"/>
      <c r="I78" s="183"/>
      <c r="J78" s="183"/>
      <c r="K78" s="51"/>
      <c r="L78" s="51"/>
      <c r="M78" s="51"/>
      <c r="N78" s="51"/>
      <c r="O78" s="51"/>
      <c r="P78" s="51"/>
      <c r="Q78" s="70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3"/>
      <c r="AD78" s="53"/>
      <c r="AE78" s="53"/>
      <c r="AF78" s="53"/>
      <c r="AG78" s="53"/>
      <c r="AH78" s="53"/>
    </row>
    <row r="79" spans="1:34" x14ac:dyDescent="0.25">
      <c r="A79" s="53"/>
      <c r="B79" s="65"/>
      <c r="C79" s="52"/>
      <c r="D79" s="183"/>
      <c r="E79" s="183"/>
      <c r="F79" s="51"/>
      <c r="G79" s="51"/>
      <c r="H79" s="183"/>
      <c r="I79" s="183"/>
      <c r="J79" s="183"/>
      <c r="K79" s="51"/>
      <c r="L79" s="51"/>
      <c r="M79" s="51"/>
      <c r="N79" s="51"/>
      <c r="O79" s="51"/>
      <c r="P79" s="51"/>
      <c r="Q79" s="70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3"/>
      <c r="AD79" s="53"/>
      <c r="AE79" s="53"/>
      <c r="AF79" s="53"/>
      <c r="AG79" s="53"/>
      <c r="AH79" s="53"/>
    </row>
    <row r="80" spans="1:34" x14ac:dyDescent="0.25">
      <c r="A80" s="53"/>
      <c r="B80" s="65"/>
      <c r="C80" s="52"/>
      <c r="D80" s="183"/>
      <c r="E80" s="183"/>
      <c r="F80" s="51"/>
      <c r="G80" s="51"/>
      <c r="H80" s="183"/>
      <c r="I80" s="183"/>
      <c r="J80" s="183"/>
      <c r="K80" s="51"/>
      <c r="L80" s="51"/>
      <c r="M80" s="51"/>
      <c r="N80" s="51"/>
      <c r="O80" s="51"/>
      <c r="P80" s="51"/>
      <c r="Q80" s="70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3"/>
      <c r="AD80" s="53"/>
      <c r="AE80" s="53"/>
      <c r="AF80" s="53"/>
      <c r="AG80" s="53"/>
      <c r="AH80" s="53"/>
    </row>
  </sheetData>
  <mergeCells count="34">
    <mergeCell ref="H71:J71"/>
    <mergeCell ref="D74:E74"/>
    <mergeCell ref="H74:J74"/>
    <mergeCell ref="D72:E72"/>
    <mergeCell ref="H72:J72"/>
    <mergeCell ref="H73:J73"/>
    <mergeCell ref="D70:E70"/>
    <mergeCell ref="H70:J70"/>
    <mergeCell ref="M10:M11"/>
    <mergeCell ref="N10:N11"/>
    <mergeCell ref="O10:Q10"/>
    <mergeCell ref="G10:G11"/>
    <mergeCell ref="H10:H11"/>
    <mergeCell ref="I10:I11"/>
    <mergeCell ref="J10:J11"/>
    <mergeCell ref="K10:K11"/>
    <mergeCell ref="L10:L11"/>
    <mergeCell ref="F10:F11"/>
    <mergeCell ref="B2:D2"/>
    <mergeCell ref="F2:AH2"/>
    <mergeCell ref="D10:D11"/>
    <mergeCell ref="E10:E11"/>
    <mergeCell ref="AA10:AC10"/>
    <mergeCell ref="AD10:AF10"/>
    <mergeCell ref="AG10:AG11"/>
    <mergeCell ref="AH10:AH11"/>
    <mergeCell ref="R10:T10"/>
    <mergeCell ref="U10:W10"/>
    <mergeCell ref="X10:Z10"/>
    <mergeCell ref="A7:N7"/>
    <mergeCell ref="A8:N8"/>
    <mergeCell ref="A10:A11"/>
    <mergeCell ref="B10:B11"/>
    <mergeCell ref="C10:C11"/>
  </mergeCells>
  <pageMargins left="0.25" right="0.25" top="0.2" bottom="0.2" header="0.3" footer="0.3"/>
  <pageSetup paperSize="9" scale="8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4"/>
  <sheetViews>
    <sheetView view="pageBreakPreview" zoomScale="85" zoomScaleNormal="100" zoomScaleSheetLayoutView="85" workbookViewId="0">
      <pane xSplit="1" ySplit="5" topLeftCell="B34" activePane="bottomRight" state="frozen"/>
      <selection pane="topRight" activeCell="C1" sqref="C1"/>
      <selection pane="bottomLeft" activeCell="A6" sqref="A6"/>
      <selection pane="bottomRight" activeCell="AI45" sqref="AI45"/>
    </sheetView>
  </sheetViews>
  <sheetFormatPr defaultColWidth="9.140625" defaultRowHeight="12.75" x14ac:dyDescent="0.2"/>
  <cols>
    <col min="1" max="1" width="4.42578125" style="80" customWidth="1"/>
    <col min="2" max="2" width="23.5703125" style="3" customWidth="1"/>
    <col min="3" max="6" width="9.28515625" style="80" bestFit="1" customWidth="1"/>
    <col min="7" max="7" width="9.42578125" style="80" bestFit="1" customWidth="1"/>
    <col min="8" max="9" width="9.42578125" style="80" hidden="1" customWidth="1"/>
    <col min="10" max="10" width="9.7109375" style="80" hidden="1" customWidth="1"/>
    <col min="11" max="11" width="5.7109375" style="80" hidden="1" customWidth="1"/>
    <col min="12" max="12" width="9.28515625" style="80" hidden="1" customWidth="1"/>
    <col min="13" max="13" width="9" style="80" hidden="1" customWidth="1"/>
    <col min="14" max="14" width="8.7109375" style="80" hidden="1" customWidth="1"/>
    <col min="15" max="15" width="6.85546875" style="80" hidden="1" customWidth="1"/>
    <col min="16" max="16" width="4.5703125" style="80" hidden="1" customWidth="1"/>
    <col min="17" max="17" width="6.7109375" style="80" hidden="1" customWidth="1"/>
    <col min="18" max="29" width="9.28515625" style="80" hidden="1" customWidth="1"/>
    <col min="30" max="30" width="9.28515625" style="80" bestFit="1" customWidth="1"/>
    <col min="31" max="31" width="10.140625" style="80" bestFit="1" customWidth="1"/>
    <col min="32" max="16384" width="9.140625" style="80"/>
  </cols>
  <sheetData>
    <row r="1" spans="1:31" s="131" customFormat="1" ht="64.5" customHeight="1" x14ac:dyDescent="0.25">
      <c r="A1" s="318" t="s">
        <v>301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  <c r="AB1" s="318"/>
      <c r="AC1" s="318"/>
      <c r="AD1" s="318"/>
      <c r="AE1" s="318"/>
    </row>
    <row r="2" spans="1:31" s="131" customFormat="1" ht="15.75" x14ac:dyDescent="0.25">
      <c r="A2" s="317" t="s">
        <v>299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117"/>
      <c r="AA2" s="117"/>
      <c r="AB2" s="251"/>
      <c r="AC2" s="117"/>
      <c r="AD2" s="117"/>
      <c r="AE2" s="117"/>
    </row>
    <row r="3" spans="1:31" s="110" customFormat="1" ht="42" customHeight="1" x14ac:dyDescent="0.2">
      <c r="A3" s="293" t="s">
        <v>0</v>
      </c>
      <c r="B3" s="293" t="s">
        <v>38</v>
      </c>
      <c r="C3" s="342" t="s">
        <v>47</v>
      </c>
      <c r="D3" s="342" t="s">
        <v>48</v>
      </c>
      <c r="E3" s="342" t="s">
        <v>17</v>
      </c>
      <c r="F3" s="342" t="s">
        <v>37</v>
      </c>
      <c r="G3" s="293" t="s">
        <v>33</v>
      </c>
      <c r="H3" s="293" t="s">
        <v>26</v>
      </c>
      <c r="I3" s="293" t="s">
        <v>2</v>
      </c>
      <c r="J3" s="293" t="s">
        <v>3</v>
      </c>
      <c r="K3" s="293" t="s">
        <v>10</v>
      </c>
      <c r="L3" s="293" t="s">
        <v>139</v>
      </c>
      <c r="M3" s="293" t="s">
        <v>31</v>
      </c>
      <c r="N3" s="293" t="s">
        <v>171</v>
      </c>
      <c r="O3" s="293" t="s">
        <v>13</v>
      </c>
      <c r="P3" s="293"/>
      <c r="Q3" s="293"/>
      <c r="R3" s="293" t="s">
        <v>14</v>
      </c>
      <c r="S3" s="293"/>
      <c r="T3" s="293"/>
      <c r="U3" s="293" t="s">
        <v>36</v>
      </c>
      <c r="V3" s="293"/>
      <c r="W3" s="293"/>
      <c r="X3" s="293" t="s">
        <v>85</v>
      </c>
      <c r="Y3" s="293"/>
      <c r="Z3" s="293"/>
      <c r="AA3" s="293" t="s">
        <v>35</v>
      </c>
      <c r="AB3" s="293"/>
      <c r="AC3" s="293"/>
      <c r="AD3" s="293" t="s">
        <v>21</v>
      </c>
      <c r="AE3" s="293" t="s">
        <v>24</v>
      </c>
    </row>
    <row r="4" spans="1:31" s="81" customFormat="1" ht="48" customHeight="1" x14ac:dyDescent="0.2">
      <c r="A4" s="293"/>
      <c r="B4" s="293"/>
      <c r="C4" s="342"/>
      <c r="D4" s="342"/>
      <c r="E4" s="342"/>
      <c r="F4" s="342"/>
      <c r="G4" s="293"/>
      <c r="H4" s="293"/>
      <c r="I4" s="293"/>
      <c r="J4" s="293"/>
      <c r="K4" s="293"/>
      <c r="L4" s="293"/>
      <c r="M4" s="293"/>
      <c r="N4" s="344"/>
      <c r="O4" s="112" t="s">
        <v>45</v>
      </c>
      <c r="P4" s="10" t="s">
        <v>8</v>
      </c>
      <c r="Q4" s="112" t="s">
        <v>12</v>
      </c>
      <c r="R4" s="112" t="s">
        <v>45</v>
      </c>
      <c r="S4" s="10" t="s">
        <v>8</v>
      </c>
      <c r="T4" s="112" t="s">
        <v>12</v>
      </c>
      <c r="U4" s="112" t="s">
        <v>45</v>
      </c>
      <c r="V4" s="10" t="s">
        <v>8</v>
      </c>
      <c r="W4" s="112" t="s">
        <v>12</v>
      </c>
      <c r="X4" s="112" t="s">
        <v>45</v>
      </c>
      <c r="Y4" s="10" t="s">
        <v>8</v>
      </c>
      <c r="Z4" s="112" t="s">
        <v>12</v>
      </c>
      <c r="AA4" s="112" t="s">
        <v>45</v>
      </c>
      <c r="AB4" s="10" t="s">
        <v>8</v>
      </c>
      <c r="AC4" s="112" t="s">
        <v>12</v>
      </c>
      <c r="AD4" s="293"/>
      <c r="AE4" s="293"/>
    </row>
    <row r="5" spans="1:31" s="76" customFormat="1" x14ac:dyDescent="0.2">
      <c r="A5" s="273"/>
      <c r="B5" s="273">
        <v>3</v>
      </c>
      <c r="C5" s="273">
        <v>4</v>
      </c>
      <c r="D5" s="120">
        <v>6</v>
      </c>
      <c r="E5" s="120">
        <v>7</v>
      </c>
      <c r="F5" s="120">
        <v>8</v>
      </c>
      <c r="G5" s="120">
        <v>9</v>
      </c>
      <c r="H5" s="120">
        <v>10</v>
      </c>
      <c r="I5" s="120">
        <v>11</v>
      </c>
      <c r="J5" s="120">
        <v>12</v>
      </c>
      <c r="K5" s="120">
        <v>13</v>
      </c>
      <c r="L5" s="120">
        <v>14</v>
      </c>
      <c r="M5" s="120">
        <v>15</v>
      </c>
      <c r="N5" s="120">
        <v>16</v>
      </c>
      <c r="O5" s="120">
        <v>17</v>
      </c>
      <c r="P5" s="59">
        <v>18</v>
      </c>
      <c r="Q5" s="120">
        <v>19</v>
      </c>
      <c r="R5" s="120">
        <v>20</v>
      </c>
      <c r="S5" s="59">
        <v>21</v>
      </c>
      <c r="T5" s="120">
        <v>22</v>
      </c>
      <c r="U5" s="120">
        <v>26</v>
      </c>
      <c r="V5" s="120">
        <v>27</v>
      </c>
      <c r="W5" s="120">
        <v>28</v>
      </c>
      <c r="X5" s="120">
        <v>29</v>
      </c>
      <c r="Y5" s="120">
        <v>30</v>
      </c>
      <c r="Z5" s="120">
        <v>31</v>
      </c>
      <c r="AA5" s="120">
        <v>32</v>
      </c>
      <c r="AB5" s="120">
        <v>33</v>
      </c>
      <c r="AC5" s="120">
        <v>34</v>
      </c>
      <c r="AD5" s="120">
        <v>35</v>
      </c>
      <c r="AE5" s="120">
        <v>36</v>
      </c>
    </row>
    <row r="6" spans="1:31" s="232" customFormat="1" ht="38.25" x14ac:dyDescent="0.2">
      <c r="A6" s="228">
        <v>1</v>
      </c>
      <c r="B6" s="273" t="s">
        <v>70</v>
      </c>
      <c r="C6" s="100" t="s">
        <v>54</v>
      </c>
      <c r="D6" s="100" t="s">
        <v>243</v>
      </c>
      <c r="E6" s="9" t="s">
        <v>53</v>
      </c>
      <c r="F6" s="9" t="s">
        <v>124</v>
      </c>
      <c r="G6" s="229">
        <v>1</v>
      </c>
      <c r="H6" s="250">
        <v>4.46</v>
      </c>
      <c r="I6" s="100">
        <v>17697</v>
      </c>
      <c r="J6" s="98">
        <f>I6*H6*1</f>
        <v>78928.62</v>
      </c>
      <c r="K6" s="98"/>
      <c r="L6" s="98">
        <f>J6+K6</f>
        <v>78928.62</v>
      </c>
      <c r="M6" s="98">
        <f>L6*G6</f>
        <v>78928.62</v>
      </c>
      <c r="N6" s="98">
        <f>H6*I6*10%</f>
        <v>7892.8620000000001</v>
      </c>
      <c r="O6" s="98"/>
      <c r="P6" s="100"/>
      <c r="Q6" s="98"/>
      <c r="R6" s="230">
        <f>G6</f>
        <v>1</v>
      </c>
      <c r="S6" s="100">
        <v>40</v>
      </c>
      <c r="T6" s="98">
        <f>17697*R6*S6/100</f>
        <v>7078.8</v>
      </c>
      <c r="U6" s="231">
        <v>1</v>
      </c>
      <c r="V6" s="98">
        <v>50</v>
      </c>
      <c r="W6" s="98">
        <f>(H6*I6)/165.5*8*8*50%</f>
        <v>15261.122900302114</v>
      </c>
      <c r="X6" s="230">
        <v>1</v>
      </c>
      <c r="Y6" s="98">
        <v>50</v>
      </c>
      <c r="Z6" s="247">
        <f>H6*I6/165.5*24*50%</f>
        <v>5722.9210876132929</v>
      </c>
      <c r="AA6" s="98"/>
      <c r="AB6" s="98"/>
      <c r="AC6" s="98"/>
      <c r="AD6" s="98">
        <f>N6+T6+AC6+W6+Z6</f>
        <v>35955.705987915411</v>
      </c>
      <c r="AE6" s="98">
        <f>M6+AD6</f>
        <v>114884.32598791541</v>
      </c>
    </row>
    <row r="7" spans="1:31" s="232" customFormat="1" ht="38.25" x14ac:dyDescent="0.2">
      <c r="A7" s="228">
        <v>2</v>
      </c>
      <c r="B7" s="273" t="s">
        <v>70</v>
      </c>
      <c r="C7" s="9" t="s">
        <v>54</v>
      </c>
      <c r="D7" s="9" t="s">
        <v>148</v>
      </c>
      <c r="E7" s="9">
        <v>2</v>
      </c>
      <c r="F7" s="9" t="s">
        <v>93</v>
      </c>
      <c r="G7" s="230">
        <v>1</v>
      </c>
      <c r="H7" s="97">
        <v>4.16</v>
      </c>
      <c r="I7" s="100">
        <v>17697</v>
      </c>
      <c r="J7" s="98">
        <f t="shared" ref="J7:J45" si="0">I7*H7*1</f>
        <v>73619.520000000004</v>
      </c>
      <c r="K7" s="98"/>
      <c r="L7" s="98">
        <f>J7+K7</f>
        <v>73619.520000000004</v>
      </c>
      <c r="M7" s="98">
        <f t="shared" ref="M7:M9" si="1">L7*G7</f>
        <v>73619.520000000004</v>
      </c>
      <c r="N7" s="98">
        <f t="shared" ref="N7:N9" si="2">H7*I7*10%</f>
        <v>7361.9520000000011</v>
      </c>
      <c r="O7" s="230"/>
      <c r="P7" s="100"/>
      <c r="Q7" s="98"/>
      <c r="R7" s="230">
        <f>G7</f>
        <v>1</v>
      </c>
      <c r="S7" s="100">
        <v>40</v>
      </c>
      <c r="T7" s="98">
        <f>17697*R7*S7/100</f>
        <v>7078.8</v>
      </c>
      <c r="U7" s="230">
        <f>G7</f>
        <v>1</v>
      </c>
      <c r="V7" s="100">
        <v>50</v>
      </c>
      <c r="W7" s="98">
        <f>(H7*I7)/165.5*8*8*50%</f>
        <v>14234.58996978852</v>
      </c>
      <c r="X7" s="230">
        <f>G7</f>
        <v>1</v>
      </c>
      <c r="Y7" s="100">
        <v>50</v>
      </c>
      <c r="Z7" s="247">
        <f t="shared" ref="Z7:Z9" si="3">H7*I7/165.5*24*50%</f>
        <v>5337.9712386706951</v>
      </c>
      <c r="AA7" s="98"/>
      <c r="AB7" s="98"/>
      <c r="AC7" s="98"/>
      <c r="AD7" s="98">
        <f t="shared" ref="AD7:AD9" si="4">N7+T7+AC7+W7+Z7</f>
        <v>34013.313208459214</v>
      </c>
      <c r="AE7" s="98">
        <f t="shared" ref="AE7:AE9" si="5">M7+AD7</f>
        <v>107632.83320845923</v>
      </c>
    </row>
    <row r="8" spans="1:31" s="232" customFormat="1" ht="38.25" x14ac:dyDescent="0.2">
      <c r="A8" s="228">
        <v>3</v>
      </c>
      <c r="B8" s="273" t="s">
        <v>70</v>
      </c>
      <c r="C8" s="9" t="s">
        <v>54</v>
      </c>
      <c r="D8" s="9" t="s">
        <v>245</v>
      </c>
      <c r="E8" s="9" t="s">
        <v>81</v>
      </c>
      <c r="F8" s="9" t="s">
        <v>108</v>
      </c>
      <c r="G8" s="230">
        <v>1</v>
      </c>
      <c r="H8" s="97">
        <v>3.57</v>
      </c>
      <c r="I8" s="100">
        <v>17697</v>
      </c>
      <c r="J8" s="98">
        <f t="shared" si="0"/>
        <v>63178.289999999994</v>
      </c>
      <c r="K8" s="98"/>
      <c r="L8" s="98">
        <f>J8+K8</f>
        <v>63178.289999999994</v>
      </c>
      <c r="M8" s="98">
        <f t="shared" si="1"/>
        <v>63178.289999999994</v>
      </c>
      <c r="N8" s="98">
        <f t="shared" si="2"/>
        <v>6317.8289999999997</v>
      </c>
      <c r="O8" s="230"/>
      <c r="P8" s="100"/>
      <c r="Q8" s="98"/>
      <c r="R8" s="230">
        <f>G8</f>
        <v>1</v>
      </c>
      <c r="S8" s="100">
        <v>40</v>
      </c>
      <c r="T8" s="98">
        <f>17697*R8*S8/100</f>
        <v>7078.8</v>
      </c>
      <c r="U8" s="230">
        <f>G8</f>
        <v>1</v>
      </c>
      <c r="V8" s="98">
        <v>50</v>
      </c>
      <c r="W8" s="98">
        <f>(H8*I8)/165.5*8*8*50%</f>
        <v>12215.741873111781</v>
      </c>
      <c r="X8" s="230">
        <f>G8</f>
        <v>1</v>
      </c>
      <c r="Y8" s="98">
        <v>50</v>
      </c>
      <c r="Z8" s="247">
        <f t="shared" si="3"/>
        <v>4580.9032024169182</v>
      </c>
      <c r="AA8" s="98"/>
      <c r="AB8" s="98"/>
      <c r="AC8" s="98"/>
      <c r="AD8" s="98">
        <f t="shared" si="4"/>
        <v>30193.274075528698</v>
      </c>
      <c r="AE8" s="98">
        <f t="shared" si="5"/>
        <v>93371.564075528688</v>
      </c>
    </row>
    <row r="9" spans="1:31" s="232" customFormat="1" ht="38.25" x14ac:dyDescent="0.2">
      <c r="A9" s="228">
        <v>4</v>
      </c>
      <c r="B9" s="273" t="s">
        <v>70</v>
      </c>
      <c r="C9" s="100" t="s">
        <v>54</v>
      </c>
      <c r="D9" s="9" t="s">
        <v>244</v>
      </c>
      <c r="E9" s="9" t="s">
        <v>81</v>
      </c>
      <c r="F9" s="9" t="s">
        <v>108</v>
      </c>
      <c r="G9" s="230">
        <v>1</v>
      </c>
      <c r="H9" s="100">
        <v>3.45</v>
      </c>
      <c r="I9" s="100">
        <v>17697</v>
      </c>
      <c r="J9" s="98">
        <f t="shared" si="0"/>
        <v>61054.65</v>
      </c>
      <c r="K9" s="98"/>
      <c r="L9" s="98">
        <f>J9+K9</f>
        <v>61054.65</v>
      </c>
      <c r="M9" s="98">
        <f t="shared" si="1"/>
        <v>61054.65</v>
      </c>
      <c r="N9" s="98">
        <f t="shared" si="2"/>
        <v>6105.4650000000001</v>
      </c>
      <c r="O9" s="230"/>
      <c r="P9" s="100"/>
      <c r="Q9" s="98">
        <f>8712*O9*P9/100</f>
        <v>0</v>
      </c>
      <c r="R9" s="230">
        <f>G9</f>
        <v>1</v>
      </c>
      <c r="S9" s="100">
        <v>40</v>
      </c>
      <c r="T9" s="98">
        <f>17697*R9*S9/100</f>
        <v>7078.8</v>
      </c>
      <c r="U9" s="230">
        <f>G9</f>
        <v>1</v>
      </c>
      <c r="V9" s="98">
        <v>50</v>
      </c>
      <c r="W9" s="98">
        <f>(H9*I9)/165.5*8*8*50%</f>
        <v>11805.128700906345</v>
      </c>
      <c r="X9" s="230">
        <f>G9</f>
        <v>1</v>
      </c>
      <c r="Y9" s="100">
        <v>50</v>
      </c>
      <c r="Z9" s="247">
        <f t="shared" si="3"/>
        <v>4426.9232628398795</v>
      </c>
      <c r="AA9" s="98"/>
      <c r="AB9" s="98"/>
      <c r="AC9" s="98"/>
      <c r="AD9" s="98">
        <f t="shared" si="4"/>
        <v>29416.316963746223</v>
      </c>
      <c r="AE9" s="98">
        <f t="shared" si="5"/>
        <v>90470.966963746221</v>
      </c>
    </row>
    <row r="10" spans="1:31" s="241" customFormat="1" ht="13.5" x14ac:dyDescent="0.25">
      <c r="A10" s="228"/>
      <c r="B10" s="234"/>
      <c r="C10" s="235"/>
      <c r="D10" s="236"/>
      <c r="E10" s="237"/>
      <c r="F10" s="238"/>
      <c r="G10" s="239">
        <f>SUM(G6:G9)</f>
        <v>4</v>
      </c>
      <c r="H10" s="238"/>
      <c r="I10" s="233"/>
      <c r="J10" s="240">
        <f>SUM(J6:J9)</f>
        <v>276781.08</v>
      </c>
      <c r="K10" s="240">
        <f t="shared" ref="K10:AC10" si="6">SUM(K6:K9)</f>
        <v>0</v>
      </c>
      <c r="L10" s="240">
        <f>SUM(L6:L9)</f>
        <v>276781.08</v>
      </c>
      <c r="M10" s="240">
        <f>SUM(M6:M9)</f>
        <v>276781.08</v>
      </c>
      <c r="N10" s="240">
        <f>SUM(N6:N9)</f>
        <v>27678.108000000004</v>
      </c>
      <c r="O10" s="240">
        <f t="shared" si="6"/>
        <v>0</v>
      </c>
      <c r="P10" s="240">
        <f t="shared" si="6"/>
        <v>0</v>
      </c>
      <c r="Q10" s="240">
        <f t="shared" si="6"/>
        <v>0</v>
      </c>
      <c r="R10" s="240">
        <f t="shared" si="6"/>
        <v>4</v>
      </c>
      <c r="S10" s="240">
        <f t="shared" si="6"/>
        <v>160</v>
      </c>
      <c r="T10" s="240">
        <f>SUM(T6:T9)</f>
        <v>28315.200000000001</v>
      </c>
      <c r="U10" s="240">
        <f t="shared" si="6"/>
        <v>4</v>
      </c>
      <c r="V10" s="240">
        <f t="shared" si="6"/>
        <v>200</v>
      </c>
      <c r="W10" s="240">
        <f>SUM(W6:W9)</f>
        <v>53516.583444108757</v>
      </c>
      <c r="X10" s="240">
        <f t="shared" si="6"/>
        <v>4</v>
      </c>
      <c r="Y10" s="240">
        <f t="shared" si="6"/>
        <v>200</v>
      </c>
      <c r="Z10" s="240">
        <f>SUM(Z6:Z9)</f>
        <v>20068.718791540785</v>
      </c>
      <c r="AA10" s="240">
        <f t="shared" si="6"/>
        <v>0</v>
      </c>
      <c r="AB10" s="240">
        <f t="shared" si="6"/>
        <v>0</v>
      </c>
      <c r="AC10" s="240">
        <f t="shared" si="6"/>
        <v>0</v>
      </c>
      <c r="AD10" s="240">
        <f>SUM(AD6:AD9)</f>
        <v>129578.61023564955</v>
      </c>
      <c r="AE10" s="240">
        <f>SUM(AE6:AE9)</f>
        <v>406359.69023564958</v>
      </c>
    </row>
    <row r="11" spans="1:31" s="7" customFormat="1" x14ac:dyDescent="0.2">
      <c r="A11" s="242">
        <v>5</v>
      </c>
      <c r="B11" s="273" t="s">
        <v>134</v>
      </c>
      <c r="C11" s="9" t="s">
        <v>54</v>
      </c>
      <c r="D11" s="9" t="s">
        <v>150</v>
      </c>
      <c r="E11" s="9" t="s">
        <v>57</v>
      </c>
      <c r="F11" s="9" t="s">
        <v>144</v>
      </c>
      <c r="G11" s="97">
        <v>1</v>
      </c>
      <c r="H11" s="97">
        <v>3.08</v>
      </c>
      <c r="I11" s="100">
        <v>17697</v>
      </c>
      <c r="J11" s="98">
        <f t="shared" si="0"/>
        <v>54506.76</v>
      </c>
      <c r="K11" s="98"/>
      <c r="L11" s="11">
        <f>J11+K11</f>
        <v>54506.76</v>
      </c>
      <c r="M11" s="98">
        <f>L11*G11</f>
        <v>54506.76</v>
      </c>
      <c r="N11" s="98">
        <f>H11*I11*10%</f>
        <v>5450.6760000000004</v>
      </c>
      <c r="O11" s="87"/>
      <c r="P11" s="9"/>
      <c r="Q11" s="98"/>
      <c r="R11" s="230">
        <f>G11</f>
        <v>1</v>
      </c>
      <c r="S11" s="9">
        <v>40</v>
      </c>
      <c r="T11" s="98">
        <f>17697*40%*R11</f>
        <v>7078.8</v>
      </c>
      <c r="U11" s="103">
        <f>G11</f>
        <v>1</v>
      </c>
      <c r="V11" s="11">
        <v>50</v>
      </c>
      <c r="W11" s="98">
        <f>(H11*I11)/165.5*50%*8*15</f>
        <v>19760.758912386707</v>
      </c>
      <c r="X11" s="103">
        <f>G11</f>
        <v>1</v>
      </c>
      <c r="Y11" s="11">
        <v>50</v>
      </c>
      <c r="Z11" s="98">
        <f>H11*I11/165.5*11*50%</f>
        <v>1811.4029003021149</v>
      </c>
      <c r="AA11" s="11"/>
      <c r="AB11" s="11"/>
      <c r="AC11" s="98"/>
      <c r="AD11" s="98">
        <f t="shared" ref="AD11:AD20" si="7">N11+T11+AC11+W11+Z11</f>
        <v>34101.637812688823</v>
      </c>
      <c r="AE11" s="98">
        <f t="shared" ref="AE11:AE20" si="8">M11+AD11</f>
        <v>88608.397812688825</v>
      </c>
    </row>
    <row r="12" spans="1:31" s="7" customFormat="1" x14ac:dyDescent="0.2">
      <c r="A12" s="242">
        <v>6</v>
      </c>
      <c r="B12" s="273" t="s">
        <v>134</v>
      </c>
      <c r="C12" s="9" t="s">
        <v>54</v>
      </c>
      <c r="D12" s="100" t="s">
        <v>153</v>
      </c>
      <c r="E12" s="9" t="s">
        <v>57</v>
      </c>
      <c r="F12" s="9" t="s">
        <v>144</v>
      </c>
      <c r="G12" s="97">
        <v>0.5</v>
      </c>
      <c r="H12" s="9">
        <v>3.25</v>
      </c>
      <c r="I12" s="100">
        <v>17697</v>
      </c>
      <c r="J12" s="98">
        <f t="shared" si="0"/>
        <v>57515.25</v>
      </c>
      <c r="K12" s="98"/>
      <c r="L12" s="11">
        <f>J12+K12</f>
        <v>57515.25</v>
      </c>
      <c r="M12" s="98">
        <f>L12*G12</f>
        <v>28757.625</v>
      </c>
      <c r="N12" s="98"/>
      <c r="O12" s="87"/>
      <c r="P12" s="9"/>
      <c r="Q12" s="98"/>
      <c r="R12" s="230">
        <f>G12</f>
        <v>0.5</v>
      </c>
      <c r="S12" s="9">
        <v>40</v>
      </c>
      <c r="T12" s="98">
        <f>17697*40%*R12</f>
        <v>3539.4</v>
      </c>
      <c r="U12" s="103"/>
      <c r="V12" s="11"/>
      <c r="W12" s="98"/>
      <c r="X12" s="103"/>
      <c r="Y12" s="11"/>
      <c r="Z12" s="98"/>
      <c r="AA12" s="11"/>
      <c r="AB12" s="11"/>
      <c r="AC12" s="98"/>
      <c r="AD12" s="98">
        <f t="shared" si="7"/>
        <v>3539.4</v>
      </c>
      <c r="AE12" s="98">
        <f t="shared" si="8"/>
        <v>32297.025000000001</v>
      </c>
    </row>
    <row r="13" spans="1:31" s="7" customFormat="1" ht="25.5" x14ac:dyDescent="0.2">
      <c r="A13" s="242">
        <v>7</v>
      </c>
      <c r="B13" s="273" t="s">
        <v>134</v>
      </c>
      <c r="C13" s="9" t="s">
        <v>54</v>
      </c>
      <c r="D13" s="102" t="s">
        <v>96</v>
      </c>
      <c r="E13" s="9" t="s">
        <v>57</v>
      </c>
      <c r="F13" s="9" t="s">
        <v>144</v>
      </c>
      <c r="G13" s="97">
        <v>1.5</v>
      </c>
      <c r="H13" s="9">
        <v>3.29</v>
      </c>
      <c r="I13" s="100">
        <v>17697</v>
      </c>
      <c r="J13" s="98">
        <f t="shared" si="0"/>
        <v>58223.13</v>
      </c>
      <c r="K13" s="98"/>
      <c r="L13" s="11">
        <f>J13+K13</f>
        <v>58223.13</v>
      </c>
      <c r="M13" s="98">
        <f>L13*G13</f>
        <v>87334.694999999992</v>
      </c>
      <c r="N13" s="98">
        <f>H13*I13*10%</f>
        <v>5822.3130000000001</v>
      </c>
      <c r="O13" s="87"/>
      <c r="P13" s="9"/>
      <c r="Q13" s="98"/>
      <c r="R13" s="230">
        <f>G13</f>
        <v>1.5</v>
      </c>
      <c r="S13" s="9">
        <v>40</v>
      </c>
      <c r="T13" s="98">
        <f>17697*40%*R13</f>
        <v>10618.2</v>
      </c>
      <c r="U13" s="103">
        <f>G13</f>
        <v>1.5</v>
      </c>
      <c r="V13" s="11">
        <v>50</v>
      </c>
      <c r="W13" s="98">
        <f>(H13*I13)/165.5*50%*8*15</f>
        <v>21108.0833836858</v>
      </c>
      <c r="X13" s="103">
        <f>G13</f>
        <v>1.5</v>
      </c>
      <c r="Y13" s="11">
        <v>50</v>
      </c>
      <c r="Z13" s="98">
        <f>H13*I13/165.5*11*50%</f>
        <v>1934.9076435045315</v>
      </c>
      <c r="AA13" s="11"/>
      <c r="AB13" s="11"/>
      <c r="AC13" s="98"/>
      <c r="AD13" s="98">
        <f t="shared" si="7"/>
        <v>39483.504027190327</v>
      </c>
      <c r="AE13" s="98">
        <f t="shared" si="8"/>
        <v>126818.19902719032</v>
      </c>
    </row>
    <row r="14" spans="1:31" s="7" customFormat="1" x14ac:dyDescent="0.2">
      <c r="A14" s="242">
        <v>8</v>
      </c>
      <c r="B14" s="273" t="s">
        <v>134</v>
      </c>
      <c r="C14" s="9" t="s">
        <v>54</v>
      </c>
      <c r="D14" s="9" t="s">
        <v>152</v>
      </c>
      <c r="E14" s="9" t="s">
        <v>57</v>
      </c>
      <c r="F14" s="9" t="s">
        <v>144</v>
      </c>
      <c r="G14" s="97">
        <v>0.5</v>
      </c>
      <c r="H14" s="9">
        <v>3.12</v>
      </c>
      <c r="I14" s="100">
        <v>17697</v>
      </c>
      <c r="J14" s="98">
        <f t="shared" si="0"/>
        <v>55214.64</v>
      </c>
      <c r="K14" s="98"/>
      <c r="L14" s="11">
        <f>J14+K14</f>
        <v>55214.64</v>
      </c>
      <c r="M14" s="98">
        <f t="shared" ref="M14:M29" si="9">L14*G14</f>
        <v>27607.32</v>
      </c>
      <c r="N14" s="98"/>
      <c r="O14" s="87"/>
      <c r="P14" s="9"/>
      <c r="Q14" s="98"/>
      <c r="R14" s="230">
        <f>G14</f>
        <v>0.5</v>
      </c>
      <c r="S14" s="9">
        <v>40</v>
      </c>
      <c r="T14" s="98">
        <f>17697*40%*R14</f>
        <v>3539.4</v>
      </c>
      <c r="U14" s="103"/>
      <c r="V14" s="9"/>
      <c r="W14" s="9"/>
      <c r="X14" s="243"/>
      <c r="Y14" s="9"/>
      <c r="Z14" s="9"/>
      <c r="AA14" s="11"/>
      <c r="AB14" s="11"/>
      <c r="AC14" s="98"/>
      <c r="AD14" s="98">
        <f t="shared" si="7"/>
        <v>3539.4</v>
      </c>
      <c r="AE14" s="98">
        <f t="shared" si="8"/>
        <v>31146.720000000001</v>
      </c>
    </row>
    <row r="15" spans="1:31" s="7" customFormat="1" ht="35.25" customHeight="1" x14ac:dyDescent="0.2">
      <c r="A15" s="242">
        <v>9</v>
      </c>
      <c r="B15" s="273" t="s">
        <v>134</v>
      </c>
      <c r="C15" s="9" t="s">
        <v>54</v>
      </c>
      <c r="D15" s="120" t="s">
        <v>96</v>
      </c>
      <c r="E15" s="9" t="s">
        <v>57</v>
      </c>
      <c r="F15" s="9" t="s">
        <v>144</v>
      </c>
      <c r="G15" s="97">
        <v>1</v>
      </c>
      <c r="H15" s="9">
        <v>3.29</v>
      </c>
      <c r="I15" s="100">
        <v>17697</v>
      </c>
      <c r="J15" s="98">
        <f t="shared" si="0"/>
        <v>58223.13</v>
      </c>
      <c r="K15" s="98"/>
      <c r="L15" s="11">
        <f t="shared" ref="L15:L18" si="10">J15+K15</f>
        <v>58223.13</v>
      </c>
      <c r="M15" s="98">
        <f>L15*G15</f>
        <v>58223.13</v>
      </c>
      <c r="N15" s="98">
        <f>H15*I15*10%</f>
        <v>5822.3130000000001</v>
      </c>
      <c r="O15" s="87"/>
      <c r="P15" s="9"/>
      <c r="Q15" s="98">
        <f>8712*O15*P15/100</f>
        <v>0</v>
      </c>
      <c r="R15" s="230">
        <f t="shared" ref="R15:R20" si="11">G15</f>
        <v>1</v>
      </c>
      <c r="S15" s="9">
        <v>40</v>
      </c>
      <c r="T15" s="98">
        <f t="shared" ref="T15:T18" si="12">17697*40%*R15</f>
        <v>7078.8</v>
      </c>
      <c r="U15" s="103"/>
      <c r="V15" s="11"/>
      <c r="W15" s="98"/>
      <c r="X15" s="103"/>
      <c r="Y15" s="11"/>
      <c r="Z15" s="98"/>
      <c r="AA15" s="11"/>
      <c r="AB15" s="11"/>
      <c r="AC15" s="98"/>
      <c r="AD15" s="98">
        <f t="shared" si="7"/>
        <v>12901.113000000001</v>
      </c>
      <c r="AE15" s="98">
        <f t="shared" si="8"/>
        <v>71124.243000000002</v>
      </c>
    </row>
    <row r="16" spans="1:31" s="7" customFormat="1" x14ac:dyDescent="0.2">
      <c r="A16" s="242">
        <v>10</v>
      </c>
      <c r="B16" s="273" t="s">
        <v>134</v>
      </c>
      <c r="C16" s="9" t="s">
        <v>51</v>
      </c>
      <c r="D16" s="9" t="s">
        <v>304</v>
      </c>
      <c r="E16" s="9" t="s">
        <v>57</v>
      </c>
      <c r="F16" s="9" t="s">
        <v>144</v>
      </c>
      <c r="G16" s="97">
        <v>1.5</v>
      </c>
      <c r="H16" s="9">
        <v>3.16</v>
      </c>
      <c r="I16" s="100">
        <v>17697</v>
      </c>
      <c r="J16" s="98">
        <f t="shared" si="0"/>
        <v>55922.520000000004</v>
      </c>
      <c r="K16" s="98"/>
      <c r="L16" s="11">
        <f>J16+K16</f>
        <v>55922.520000000004</v>
      </c>
      <c r="M16" s="98">
        <f>L16*G16</f>
        <v>83883.78</v>
      </c>
      <c r="N16" s="98">
        <f>H16*I16*10%</f>
        <v>5592.2520000000004</v>
      </c>
      <c r="O16" s="87"/>
      <c r="P16" s="9"/>
      <c r="Q16" s="98"/>
      <c r="R16" s="230">
        <f>G16</f>
        <v>1.5</v>
      </c>
      <c r="S16" s="9">
        <v>40</v>
      </c>
      <c r="T16" s="98">
        <f>17697*40%*R16</f>
        <v>10618.2</v>
      </c>
      <c r="U16" s="103"/>
      <c r="V16" s="11"/>
      <c r="W16" s="98"/>
      <c r="X16" s="103"/>
      <c r="Y16" s="11"/>
      <c r="Z16" s="98"/>
      <c r="AA16" s="11"/>
      <c r="AB16" s="11"/>
      <c r="AC16" s="98"/>
      <c r="AD16" s="98">
        <f t="shared" si="7"/>
        <v>16210.452000000001</v>
      </c>
      <c r="AE16" s="98">
        <f t="shared" si="8"/>
        <v>100094.232</v>
      </c>
    </row>
    <row r="17" spans="1:31" s="7" customFormat="1" x14ac:dyDescent="0.2">
      <c r="A17" s="242">
        <v>11</v>
      </c>
      <c r="B17" s="273" t="s">
        <v>134</v>
      </c>
      <c r="C17" s="9" t="s">
        <v>54</v>
      </c>
      <c r="D17" s="100" t="s">
        <v>303</v>
      </c>
      <c r="E17" s="9" t="s">
        <v>57</v>
      </c>
      <c r="F17" s="9" t="s">
        <v>144</v>
      </c>
      <c r="G17" s="97">
        <v>0.5</v>
      </c>
      <c r="H17" s="9">
        <v>3.04</v>
      </c>
      <c r="I17" s="100">
        <v>17697</v>
      </c>
      <c r="J17" s="98">
        <f t="shared" si="0"/>
        <v>53798.879999999997</v>
      </c>
      <c r="K17" s="98"/>
      <c r="L17" s="11">
        <f>J17+K17</f>
        <v>53798.879999999997</v>
      </c>
      <c r="M17" s="98">
        <f t="shared" si="9"/>
        <v>26899.439999999999</v>
      </c>
      <c r="N17" s="98"/>
      <c r="O17" s="87"/>
      <c r="P17" s="9"/>
      <c r="Q17" s="98"/>
      <c r="R17" s="230">
        <f>G17</f>
        <v>0.5</v>
      </c>
      <c r="S17" s="9">
        <v>40</v>
      </c>
      <c r="T17" s="98">
        <f>17697*40%*R17</f>
        <v>3539.4</v>
      </c>
      <c r="U17" s="103"/>
      <c r="V17" s="11"/>
      <c r="W17" s="98"/>
      <c r="X17" s="103"/>
      <c r="Y17" s="11"/>
      <c r="Z17" s="98"/>
      <c r="AA17" s="11"/>
      <c r="AB17" s="11"/>
      <c r="AC17" s="98"/>
      <c r="AD17" s="98">
        <f t="shared" si="7"/>
        <v>3539.4</v>
      </c>
      <c r="AE17" s="98">
        <f t="shared" si="8"/>
        <v>30438.84</v>
      </c>
    </row>
    <row r="18" spans="1:31" s="7" customFormat="1" x14ac:dyDescent="0.2">
      <c r="A18" s="242">
        <v>12</v>
      </c>
      <c r="B18" s="273" t="s">
        <v>134</v>
      </c>
      <c r="C18" s="9" t="s">
        <v>51</v>
      </c>
      <c r="D18" s="176" t="s">
        <v>149</v>
      </c>
      <c r="E18" s="9" t="s">
        <v>57</v>
      </c>
      <c r="F18" s="9" t="s">
        <v>144</v>
      </c>
      <c r="G18" s="97">
        <v>1</v>
      </c>
      <c r="H18" s="9">
        <v>3.19</v>
      </c>
      <c r="I18" s="100">
        <v>17697</v>
      </c>
      <c r="J18" s="98">
        <f t="shared" si="0"/>
        <v>56453.43</v>
      </c>
      <c r="K18" s="98"/>
      <c r="L18" s="11">
        <f t="shared" si="10"/>
        <v>56453.43</v>
      </c>
      <c r="M18" s="98">
        <f>L18*G18</f>
        <v>56453.43</v>
      </c>
      <c r="N18" s="98">
        <f>H18*I18*10%</f>
        <v>5645.3430000000008</v>
      </c>
      <c r="O18" s="87"/>
      <c r="P18" s="9"/>
      <c r="Q18" s="98">
        <f>8712*O18*P18/100</f>
        <v>0</v>
      </c>
      <c r="R18" s="230">
        <f t="shared" si="11"/>
        <v>1</v>
      </c>
      <c r="S18" s="9">
        <v>40</v>
      </c>
      <c r="T18" s="98">
        <f t="shared" si="12"/>
        <v>7078.8</v>
      </c>
      <c r="U18" s="103">
        <f>G18</f>
        <v>1</v>
      </c>
      <c r="V18" s="11">
        <v>50</v>
      </c>
      <c r="W18" s="98">
        <f>(H18*I18)/165.5*50%*8*15</f>
        <v>20466.500302114804</v>
      </c>
      <c r="X18" s="103">
        <f>G18</f>
        <v>1</v>
      </c>
      <c r="Y18" s="11">
        <v>50</v>
      </c>
      <c r="Z18" s="98">
        <f>H18*I18/165.5*11*50%</f>
        <v>1876.0958610271903</v>
      </c>
      <c r="AA18" s="11"/>
      <c r="AB18" s="11"/>
      <c r="AC18" s="98"/>
      <c r="AD18" s="98">
        <f t="shared" si="7"/>
        <v>35066.739163141996</v>
      </c>
      <c r="AE18" s="98">
        <f t="shared" si="8"/>
        <v>91520.169163141996</v>
      </c>
    </row>
    <row r="19" spans="1:31" s="7" customFormat="1" x14ac:dyDescent="0.2">
      <c r="A19" s="242">
        <v>13</v>
      </c>
      <c r="B19" s="273" t="s">
        <v>134</v>
      </c>
      <c r="C19" s="9" t="s">
        <v>54</v>
      </c>
      <c r="D19" s="9" t="s">
        <v>151</v>
      </c>
      <c r="E19" s="9" t="s">
        <v>57</v>
      </c>
      <c r="F19" s="9" t="s">
        <v>144</v>
      </c>
      <c r="G19" s="97">
        <v>1</v>
      </c>
      <c r="H19" s="97">
        <v>3.22</v>
      </c>
      <c r="I19" s="100">
        <v>17697</v>
      </c>
      <c r="J19" s="98">
        <f t="shared" si="0"/>
        <v>56984.340000000004</v>
      </c>
      <c r="K19" s="98"/>
      <c r="L19" s="11">
        <f>J19+K19</f>
        <v>56984.340000000004</v>
      </c>
      <c r="M19" s="98">
        <f>L19*G19</f>
        <v>56984.340000000004</v>
      </c>
      <c r="N19" s="98">
        <f>H19*I19*10%</f>
        <v>5698.4340000000011</v>
      </c>
      <c r="O19" s="87"/>
      <c r="P19" s="9"/>
      <c r="Q19" s="98"/>
      <c r="R19" s="230">
        <f t="shared" si="11"/>
        <v>1</v>
      </c>
      <c r="S19" s="9">
        <v>40</v>
      </c>
      <c r="T19" s="98">
        <f>17697*40%*R19</f>
        <v>7078.8</v>
      </c>
      <c r="U19" s="103">
        <f>G19</f>
        <v>1</v>
      </c>
      <c r="V19" s="11">
        <v>50</v>
      </c>
      <c r="W19" s="98">
        <f>(H19*I19)/165.5*50%*8*15</f>
        <v>20658.975226586106</v>
      </c>
      <c r="X19" s="103">
        <f>G19</f>
        <v>1</v>
      </c>
      <c r="Y19" s="11">
        <v>50</v>
      </c>
      <c r="Z19" s="98">
        <f>H19*I19/165.5*11*50%</f>
        <v>1893.739395770393</v>
      </c>
      <c r="AA19" s="11"/>
      <c r="AB19" s="11"/>
      <c r="AC19" s="98"/>
      <c r="AD19" s="98">
        <f t="shared" si="7"/>
        <v>35329.948622356496</v>
      </c>
      <c r="AE19" s="98">
        <f t="shared" si="8"/>
        <v>92314.2886223565</v>
      </c>
    </row>
    <row r="20" spans="1:31" s="7" customFormat="1" x14ac:dyDescent="0.2">
      <c r="A20" s="242">
        <v>14</v>
      </c>
      <c r="B20" s="273" t="s">
        <v>134</v>
      </c>
      <c r="C20" s="9" t="s">
        <v>54</v>
      </c>
      <c r="D20" s="100" t="s">
        <v>307</v>
      </c>
      <c r="E20" s="9" t="s">
        <v>57</v>
      </c>
      <c r="F20" s="9" t="s">
        <v>144</v>
      </c>
      <c r="G20" s="97">
        <v>1.5</v>
      </c>
      <c r="H20" s="9">
        <v>3.25</v>
      </c>
      <c r="I20" s="100">
        <v>17697</v>
      </c>
      <c r="J20" s="98">
        <f t="shared" si="0"/>
        <v>57515.25</v>
      </c>
      <c r="K20" s="98"/>
      <c r="L20" s="11">
        <f>J20+K20</f>
        <v>57515.25</v>
      </c>
      <c r="M20" s="98">
        <f>L20*G20</f>
        <v>86272.875</v>
      </c>
      <c r="N20" s="98">
        <f>H20*I20*10%</f>
        <v>5751.5250000000005</v>
      </c>
      <c r="O20" s="87"/>
      <c r="P20" s="9"/>
      <c r="Q20" s="98"/>
      <c r="R20" s="230">
        <f t="shared" si="11"/>
        <v>1.5</v>
      </c>
      <c r="S20" s="9">
        <v>40</v>
      </c>
      <c r="T20" s="98">
        <f>17697*40%*R20</f>
        <v>10618.2</v>
      </c>
      <c r="U20" s="103"/>
      <c r="V20" s="11"/>
      <c r="W20" s="98"/>
      <c r="X20" s="103"/>
      <c r="Y20" s="11"/>
      <c r="Z20" s="98"/>
      <c r="AA20" s="11"/>
      <c r="AB20" s="11"/>
      <c r="AC20" s="98"/>
      <c r="AD20" s="98">
        <f t="shared" si="7"/>
        <v>16369.725000000002</v>
      </c>
      <c r="AE20" s="98">
        <f t="shared" si="8"/>
        <v>102642.6</v>
      </c>
    </row>
    <row r="21" spans="1:31" s="244" customFormat="1" x14ac:dyDescent="0.2">
      <c r="A21" s="228"/>
      <c r="B21" s="272"/>
      <c r="C21" s="16"/>
      <c r="D21" s="16"/>
      <c r="E21" s="16"/>
      <c r="F21" s="16"/>
      <c r="G21" s="14">
        <f>SUM(G11:G20)</f>
        <v>10</v>
      </c>
      <c r="H21" s="14"/>
      <c r="I21" s="14"/>
      <c r="J21" s="13">
        <f>SUM(J11:J20)</f>
        <v>564357.33000000007</v>
      </c>
      <c r="K21" s="13">
        <f t="shared" ref="K21" si="13">SUM(K15:K20)</f>
        <v>0</v>
      </c>
      <c r="L21" s="13">
        <f>SUM(L11:L20)</f>
        <v>564357.33000000007</v>
      </c>
      <c r="M21" s="13">
        <f>SUM(M11:M20)</f>
        <v>566923.39500000002</v>
      </c>
      <c r="N21" s="13">
        <f t="shared" ref="N21:Q21" si="14">SUM(N11:N20)</f>
        <v>39782.856000000007</v>
      </c>
      <c r="O21" s="13">
        <f t="shared" si="14"/>
        <v>0</v>
      </c>
      <c r="P21" s="13">
        <f t="shared" si="14"/>
        <v>0</v>
      </c>
      <c r="Q21" s="13">
        <f t="shared" si="14"/>
        <v>0</v>
      </c>
      <c r="R21" s="13">
        <f>SUM(R11:R20)</f>
        <v>10</v>
      </c>
      <c r="S21" s="13"/>
      <c r="T21" s="13">
        <f t="shared" ref="T21" si="15">SUM(T11:T20)</f>
        <v>70788.000000000015</v>
      </c>
      <c r="U21" s="13">
        <f>SUM(U11:U20)</f>
        <v>4.5</v>
      </c>
      <c r="V21" s="13"/>
      <c r="W21" s="13">
        <f t="shared" ref="W21" si="16">SUM(W11:W20)</f>
        <v>81994.317824773418</v>
      </c>
      <c r="X21" s="13">
        <f>SUM(X11:X20)</f>
        <v>4.5</v>
      </c>
      <c r="Y21" s="13"/>
      <c r="Z21" s="13">
        <f t="shared" ref="Z21" si="17">SUM(Z11:Z20)</f>
        <v>7516.1458006042303</v>
      </c>
      <c r="AA21" s="13">
        <f t="shared" ref="AA21:AC21" si="18">SUM(AA15:AA20)</f>
        <v>0</v>
      </c>
      <c r="AB21" s="13">
        <f t="shared" si="18"/>
        <v>0</v>
      </c>
      <c r="AC21" s="13">
        <f t="shared" si="18"/>
        <v>0</v>
      </c>
      <c r="AD21" s="13">
        <f>SUM(AD11:AD20)</f>
        <v>200081.31962537763</v>
      </c>
      <c r="AE21" s="13">
        <f>SUM(AE11:AE20)</f>
        <v>767004.71462537767</v>
      </c>
    </row>
    <row r="22" spans="1:31" s="244" customFormat="1" x14ac:dyDescent="0.2">
      <c r="A22" s="228">
        <v>15</v>
      </c>
      <c r="B22" s="273" t="s">
        <v>58</v>
      </c>
      <c r="C22" s="9" t="s">
        <v>54</v>
      </c>
      <c r="D22" s="9" t="s">
        <v>57</v>
      </c>
      <c r="E22" s="9" t="s">
        <v>57</v>
      </c>
      <c r="F22" s="9">
        <v>4</v>
      </c>
      <c r="G22" s="97">
        <v>1.25</v>
      </c>
      <c r="H22" s="9">
        <v>2.89</v>
      </c>
      <c r="I22" s="100">
        <v>17697</v>
      </c>
      <c r="J22" s="98">
        <f t="shared" si="0"/>
        <v>51144.33</v>
      </c>
      <c r="K22" s="98"/>
      <c r="L22" s="11">
        <f>J22+K22</f>
        <v>51144.33</v>
      </c>
      <c r="M22" s="98">
        <f t="shared" ref="M22:M23" si="19">L22*G22</f>
        <v>63930.412500000006</v>
      </c>
      <c r="N22" s="98">
        <f t="shared" ref="N22:N23" si="20">H22*I22*10%</f>
        <v>5114.4330000000009</v>
      </c>
      <c r="O22" s="87"/>
      <c r="P22" s="9"/>
      <c r="Q22" s="98"/>
      <c r="R22" s="87"/>
      <c r="S22" s="9"/>
      <c r="T22" s="98">
        <f>17697*R22*S22/100</f>
        <v>0</v>
      </c>
      <c r="U22" s="11"/>
      <c r="V22" s="11"/>
      <c r="W22" s="11"/>
      <c r="X22" s="87">
        <f>G22</f>
        <v>1.25</v>
      </c>
      <c r="Y22" s="11">
        <v>50</v>
      </c>
      <c r="Z22" s="98">
        <f>H22*I22/165.5*13*50%</f>
        <v>2008.6896978851964</v>
      </c>
      <c r="AA22" s="87">
        <f>G22</f>
        <v>1.25</v>
      </c>
      <c r="AB22" s="11">
        <v>30</v>
      </c>
      <c r="AC22" s="98">
        <f>17697*AA22*AB22/100</f>
        <v>6636.375</v>
      </c>
      <c r="AD22" s="98">
        <f t="shared" ref="AD22:AD23" si="21">N22+T22+AC22+W22+Z22</f>
        <v>13759.497697885197</v>
      </c>
      <c r="AE22" s="98">
        <f t="shared" ref="AE22:AE23" si="22">M22+AD22</f>
        <v>77689.910197885198</v>
      </c>
    </row>
    <row r="23" spans="1:31" s="244" customFormat="1" x14ac:dyDescent="0.2">
      <c r="A23" s="228">
        <v>16</v>
      </c>
      <c r="B23" s="273" t="s">
        <v>58</v>
      </c>
      <c r="C23" s="9" t="s">
        <v>54</v>
      </c>
      <c r="D23" s="9" t="s">
        <v>57</v>
      </c>
      <c r="E23" s="9" t="s">
        <v>57</v>
      </c>
      <c r="F23" s="9">
        <v>3</v>
      </c>
      <c r="G23" s="97">
        <v>1.25</v>
      </c>
      <c r="H23" s="9">
        <v>2.84</v>
      </c>
      <c r="I23" s="100">
        <v>17697</v>
      </c>
      <c r="J23" s="98">
        <f t="shared" si="0"/>
        <v>50259.479999999996</v>
      </c>
      <c r="K23" s="98"/>
      <c r="L23" s="11">
        <f>J23+K23</f>
        <v>50259.479999999996</v>
      </c>
      <c r="M23" s="98">
        <f t="shared" si="19"/>
        <v>62824.349999999991</v>
      </c>
      <c r="N23" s="98">
        <f t="shared" si="20"/>
        <v>5025.9480000000003</v>
      </c>
      <c r="O23" s="87"/>
      <c r="P23" s="9"/>
      <c r="Q23" s="98"/>
      <c r="R23" s="87"/>
      <c r="S23" s="9"/>
      <c r="T23" s="98">
        <f>17697*R23*S23/100</f>
        <v>0</v>
      </c>
      <c r="U23" s="11"/>
      <c r="V23" s="11"/>
      <c r="W23" s="11"/>
      <c r="X23" s="87">
        <f>G23</f>
        <v>1.25</v>
      </c>
      <c r="Y23" s="11">
        <v>50</v>
      </c>
      <c r="Z23" s="98">
        <f>H23*I23/165.5*13*50%</f>
        <v>1973.937280966767</v>
      </c>
      <c r="AA23" s="87">
        <f>G23</f>
        <v>1.25</v>
      </c>
      <c r="AB23" s="11">
        <v>30</v>
      </c>
      <c r="AC23" s="98">
        <f>17697*AA23*AB23/100</f>
        <v>6636.375</v>
      </c>
      <c r="AD23" s="98">
        <f t="shared" si="21"/>
        <v>13636.260280966768</v>
      </c>
      <c r="AE23" s="98">
        <f t="shared" si="22"/>
        <v>76460.610280966765</v>
      </c>
    </row>
    <row r="24" spans="1:31" s="246" customFormat="1" ht="18.75" customHeight="1" x14ac:dyDescent="0.2">
      <c r="A24" s="228"/>
      <c r="B24" s="272"/>
      <c r="C24" s="16"/>
      <c r="D24" s="16"/>
      <c r="E24" s="16"/>
      <c r="F24" s="16"/>
      <c r="G24" s="14">
        <f>SUM(G22:G23)</f>
        <v>2.5</v>
      </c>
      <c r="H24" s="16"/>
      <c r="I24" s="233"/>
      <c r="J24" s="240">
        <f>SUM(J22:J23)</f>
        <v>101403.81</v>
      </c>
      <c r="K24" s="240"/>
      <c r="L24" s="58">
        <f>SUM(L22:L23)</f>
        <v>101403.81</v>
      </c>
      <c r="M24" s="58">
        <f>SUM(M22:M23)</f>
        <v>126754.7625</v>
      </c>
      <c r="N24" s="58">
        <f>SUM(N22:N23)</f>
        <v>10140.381000000001</v>
      </c>
      <c r="O24" s="245"/>
      <c r="P24" s="16"/>
      <c r="Q24" s="240">
        <f>SUM(Q22:Q22)</f>
        <v>0</v>
      </c>
      <c r="R24" s="245">
        <f>SUM(R22:R22)</f>
        <v>0</v>
      </c>
      <c r="S24" s="16"/>
      <c r="T24" s="240">
        <f>SUM(T22:T22)</f>
        <v>0</v>
      </c>
      <c r="U24" s="58"/>
      <c r="V24" s="58"/>
      <c r="W24" s="58"/>
      <c r="X24" s="245">
        <f>SUM(X22:X23)</f>
        <v>2.5</v>
      </c>
      <c r="Y24" s="58"/>
      <c r="Z24" s="58">
        <f>SUM(Z22:Z23)</f>
        <v>3982.6269788519635</v>
      </c>
      <c r="AA24" s="245">
        <f>SUM(AA22:AA23)</f>
        <v>2.5</v>
      </c>
      <c r="AB24" s="58"/>
      <c r="AC24" s="58">
        <f>SUM(AC22:AC23)</f>
        <v>13272.75</v>
      </c>
      <c r="AD24" s="58">
        <f>SUM(AD22:AD23)</f>
        <v>27395.757978851965</v>
      </c>
      <c r="AE24" s="58">
        <f>SUM(AE22:AE23)</f>
        <v>154150.52047885198</v>
      </c>
    </row>
    <row r="25" spans="1:31" s="7" customFormat="1" x14ac:dyDescent="0.2">
      <c r="A25" s="228">
        <v>17</v>
      </c>
      <c r="B25" s="273" t="s">
        <v>62</v>
      </c>
      <c r="C25" s="9" t="s">
        <v>57</v>
      </c>
      <c r="D25" s="9" t="s">
        <v>57</v>
      </c>
      <c r="E25" s="9" t="s">
        <v>57</v>
      </c>
      <c r="F25" s="9">
        <v>2</v>
      </c>
      <c r="G25" s="97">
        <v>1.5</v>
      </c>
      <c r="H25" s="9">
        <v>2.81</v>
      </c>
      <c r="I25" s="100">
        <v>17697</v>
      </c>
      <c r="J25" s="98">
        <f t="shared" si="0"/>
        <v>49728.57</v>
      </c>
      <c r="K25" s="98"/>
      <c r="L25" s="11">
        <f>J25+K25</f>
        <v>49728.57</v>
      </c>
      <c r="M25" s="98">
        <f t="shared" ref="M25:M26" si="23">L25*G25</f>
        <v>74592.854999999996</v>
      </c>
      <c r="N25" s="98">
        <f t="shared" ref="N25:N26" si="24">H25*I25*10%</f>
        <v>4972.857</v>
      </c>
      <c r="O25" s="87"/>
      <c r="P25" s="9"/>
      <c r="Q25" s="98"/>
      <c r="R25" s="87"/>
      <c r="S25" s="9"/>
      <c r="T25" s="98"/>
      <c r="U25" s="103"/>
      <c r="V25" s="11"/>
      <c r="W25" s="11"/>
      <c r="X25" s="103">
        <f>G25</f>
        <v>1.5</v>
      </c>
      <c r="Y25" s="11">
        <v>50</v>
      </c>
      <c r="Z25" s="247">
        <f>H25*I25/165.5*10*50%</f>
        <v>1502.3737160120845</v>
      </c>
      <c r="AA25" s="87">
        <v>1.5</v>
      </c>
      <c r="AB25" s="11">
        <v>30</v>
      </c>
      <c r="AC25" s="98">
        <f>17697*AA25*AB25/100</f>
        <v>7963.65</v>
      </c>
      <c r="AD25" s="98">
        <f t="shared" ref="AD25:AD26" si="25">N25+T25+AC25+W25+Z25</f>
        <v>14438.880716012085</v>
      </c>
      <c r="AE25" s="98">
        <f t="shared" ref="AE25:AE26" si="26">M25+AD25</f>
        <v>89031.735716012074</v>
      </c>
    </row>
    <row r="26" spans="1:31" s="7" customFormat="1" x14ac:dyDescent="0.2">
      <c r="A26" s="228">
        <v>18</v>
      </c>
      <c r="B26" s="273" t="s">
        <v>62</v>
      </c>
      <c r="C26" s="9" t="s">
        <v>57</v>
      </c>
      <c r="D26" s="9" t="s">
        <v>57</v>
      </c>
      <c r="E26" s="9" t="s">
        <v>57</v>
      </c>
      <c r="F26" s="9">
        <v>2</v>
      </c>
      <c r="G26" s="97">
        <v>1.5</v>
      </c>
      <c r="H26" s="9">
        <v>2.81</v>
      </c>
      <c r="I26" s="100">
        <v>17697</v>
      </c>
      <c r="J26" s="98">
        <f t="shared" si="0"/>
        <v>49728.57</v>
      </c>
      <c r="K26" s="98"/>
      <c r="L26" s="11">
        <f>J26+K26</f>
        <v>49728.57</v>
      </c>
      <c r="M26" s="98">
        <f t="shared" si="23"/>
        <v>74592.854999999996</v>
      </c>
      <c r="N26" s="98">
        <f t="shared" si="24"/>
        <v>4972.857</v>
      </c>
      <c r="O26" s="87"/>
      <c r="P26" s="9"/>
      <c r="Q26" s="98"/>
      <c r="R26" s="87"/>
      <c r="S26" s="9"/>
      <c r="T26" s="42"/>
      <c r="U26" s="11"/>
      <c r="V26" s="11"/>
      <c r="W26" s="98"/>
      <c r="X26" s="103">
        <f>G26</f>
        <v>1.5</v>
      </c>
      <c r="Y26" s="11">
        <v>50</v>
      </c>
      <c r="Z26" s="247">
        <f>H26*I26/165.5*10*50%</f>
        <v>1502.3737160120845</v>
      </c>
      <c r="AA26" s="87">
        <v>1.5</v>
      </c>
      <c r="AB26" s="11">
        <v>30</v>
      </c>
      <c r="AC26" s="98">
        <f>17697*AA26*AB26/100</f>
        <v>7963.65</v>
      </c>
      <c r="AD26" s="98">
        <f t="shared" si="25"/>
        <v>14438.880716012085</v>
      </c>
      <c r="AE26" s="98">
        <f t="shared" si="26"/>
        <v>89031.735716012074</v>
      </c>
    </row>
    <row r="27" spans="1:31" s="246" customFormat="1" ht="15.75" customHeight="1" x14ac:dyDescent="0.2">
      <c r="A27" s="228"/>
      <c r="B27" s="272"/>
      <c r="C27" s="16"/>
      <c r="D27" s="16"/>
      <c r="E27" s="16"/>
      <c r="F27" s="16"/>
      <c r="G27" s="14">
        <f>SUM(G25:G26)</f>
        <v>3</v>
      </c>
      <c r="H27" s="16"/>
      <c r="I27" s="233"/>
      <c r="J27" s="240">
        <f>SUM(J25:J26)</f>
        <v>99457.14</v>
      </c>
      <c r="K27" s="240"/>
      <c r="L27" s="58">
        <f>SUM(L25:L26)</f>
        <v>99457.14</v>
      </c>
      <c r="M27" s="58">
        <f>SUM(M25:M26)</f>
        <v>149185.71</v>
      </c>
      <c r="N27" s="58">
        <f>SUM(N25:N26)</f>
        <v>9945.7139999999999</v>
      </c>
      <c r="O27" s="245"/>
      <c r="P27" s="16"/>
      <c r="Q27" s="240"/>
      <c r="R27" s="245"/>
      <c r="S27" s="16"/>
      <c r="T27" s="240"/>
      <c r="U27" s="58"/>
      <c r="V27" s="58"/>
      <c r="W27" s="58"/>
      <c r="X27" s="58">
        <f>SUM(X25:X26)</f>
        <v>3</v>
      </c>
      <c r="Y27" s="58"/>
      <c r="Z27" s="58">
        <f>SUM(Z25:Z26)</f>
        <v>3004.747432024169</v>
      </c>
      <c r="AA27" s="58">
        <f>SUM(AA25:AA26)</f>
        <v>3</v>
      </c>
      <c r="AB27" s="58"/>
      <c r="AC27" s="58">
        <f>SUM(AC25:AC26)</f>
        <v>15927.3</v>
      </c>
      <c r="AD27" s="58">
        <f>SUM(AD25:AD26)</f>
        <v>28877.76143202417</v>
      </c>
      <c r="AE27" s="58">
        <f>SUM(AE25:AE26)</f>
        <v>178063.47143202415</v>
      </c>
    </row>
    <row r="28" spans="1:31" s="244" customFormat="1" ht="38.25" x14ac:dyDescent="0.2">
      <c r="A28" s="228">
        <v>19</v>
      </c>
      <c r="B28" s="273" t="s">
        <v>74</v>
      </c>
      <c r="C28" s="9" t="s">
        <v>57</v>
      </c>
      <c r="D28" s="9" t="s">
        <v>57</v>
      </c>
      <c r="E28" s="9" t="s">
        <v>57</v>
      </c>
      <c r="F28" s="9">
        <v>3</v>
      </c>
      <c r="G28" s="97">
        <v>0.5</v>
      </c>
      <c r="H28" s="9">
        <v>2.84</v>
      </c>
      <c r="I28" s="100">
        <v>17697</v>
      </c>
      <c r="J28" s="98">
        <f t="shared" si="0"/>
        <v>50259.479999999996</v>
      </c>
      <c r="K28" s="98"/>
      <c r="L28" s="11">
        <f>J28+K28</f>
        <v>50259.479999999996</v>
      </c>
      <c r="M28" s="98">
        <f t="shared" si="9"/>
        <v>25129.739999999998</v>
      </c>
      <c r="N28" s="98"/>
      <c r="O28" s="87"/>
      <c r="P28" s="9"/>
      <c r="Q28" s="98"/>
      <c r="R28" s="87"/>
      <c r="S28" s="9"/>
      <c r="T28" s="98"/>
      <c r="U28" s="11"/>
      <c r="V28" s="11"/>
      <c r="W28" s="11"/>
      <c r="X28" s="11"/>
      <c r="Y28" s="11"/>
      <c r="Z28" s="11"/>
      <c r="AA28" s="87"/>
      <c r="AB28" s="11"/>
      <c r="AC28" s="98"/>
      <c r="AD28" s="98">
        <f t="shared" ref="AD28:AD31" si="27">N28+T28+AC28+W28+Z28</f>
        <v>0</v>
      </c>
      <c r="AE28" s="98">
        <f t="shared" ref="AE28:AE31" si="28">M28+AD28</f>
        <v>25129.739999999998</v>
      </c>
    </row>
    <row r="29" spans="1:31" s="244" customFormat="1" ht="38.25" x14ac:dyDescent="0.2">
      <c r="A29" s="228">
        <v>20</v>
      </c>
      <c r="B29" s="273" t="s">
        <v>74</v>
      </c>
      <c r="C29" s="9" t="s">
        <v>57</v>
      </c>
      <c r="D29" s="9" t="s">
        <v>57</v>
      </c>
      <c r="E29" s="9" t="s">
        <v>57</v>
      </c>
      <c r="F29" s="9">
        <v>3</v>
      </c>
      <c r="G29" s="97">
        <v>0.5</v>
      </c>
      <c r="H29" s="9">
        <v>2.84</v>
      </c>
      <c r="I29" s="100">
        <v>17697</v>
      </c>
      <c r="J29" s="98">
        <f t="shared" si="0"/>
        <v>50259.479999999996</v>
      </c>
      <c r="K29" s="98"/>
      <c r="L29" s="11">
        <f>J29+K29</f>
        <v>50259.479999999996</v>
      </c>
      <c r="M29" s="98">
        <f t="shared" si="9"/>
        <v>25129.739999999998</v>
      </c>
      <c r="N29" s="98"/>
      <c r="O29" s="87"/>
      <c r="P29" s="9"/>
      <c r="Q29" s="98"/>
      <c r="R29" s="87"/>
      <c r="S29" s="9"/>
      <c r="T29" s="98"/>
      <c r="U29" s="11"/>
      <c r="V29" s="11"/>
      <c r="W29" s="11"/>
      <c r="X29" s="11"/>
      <c r="Y29" s="11"/>
      <c r="Z29" s="11"/>
      <c r="AA29" s="87"/>
      <c r="AB29" s="11"/>
      <c r="AC29" s="98"/>
      <c r="AD29" s="98">
        <f t="shared" si="27"/>
        <v>0</v>
      </c>
      <c r="AE29" s="98">
        <f t="shared" si="28"/>
        <v>25129.739999999998</v>
      </c>
    </row>
    <row r="30" spans="1:31" s="244" customFormat="1" ht="38.25" x14ac:dyDescent="0.2">
      <c r="A30" s="228">
        <v>21</v>
      </c>
      <c r="B30" s="273" t="s">
        <v>74</v>
      </c>
      <c r="C30" s="9" t="s">
        <v>57</v>
      </c>
      <c r="D30" s="9" t="s">
        <v>57</v>
      </c>
      <c r="E30" s="9" t="s">
        <v>57</v>
      </c>
      <c r="F30" s="9">
        <v>3</v>
      </c>
      <c r="G30" s="97">
        <v>0.5</v>
      </c>
      <c r="H30" s="9">
        <v>2.84</v>
      </c>
      <c r="I30" s="100">
        <v>17697</v>
      </c>
      <c r="J30" s="98">
        <f t="shared" ref="J30:J31" si="29">I30*H30*1</f>
        <v>50259.479999999996</v>
      </c>
      <c r="K30" s="98"/>
      <c r="L30" s="11">
        <f>J30+K30</f>
        <v>50259.479999999996</v>
      </c>
      <c r="M30" s="98">
        <f t="shared" ref="M30:M31" si="30">L30*G30</f>
        <v>25129.739999999998</v>
      </c>
      <c r="N30" s="98"/>
      <c r="O30" s="87"/>
      <c r="P30" s="9"/>
      <c r="Q30" s="98"/>
      <c r="R30" s="87"/>
      <c r="S30" s="9"/>
      <c r="T30" s="98"/>
      <c r="U30" s="11"/>
      <c r="V30" s="11"/>
      <c r="W30" s="11"/>
      <c r="X30" s="11"/>
      <c r="Y30" s="11"/>
      <c r="Z30" s="11"/>
      <c r="AA30" s="87"/>
      <c r="AB30" s="11"/>
      <c r="AC30" s="98"/>
      <c r="AD30" s="98">
        <f t="shared" si="27"/>
        <v>0</v>
      </c>
      <c r="AE30" s="98">
        <f t="shared" si="28"/>
        <v>25129.739999999998</v>
      </c>
    </row>
    <row r="31" spans="1:31" s="244" customFormat="1" ht="38.25" x14ac:dyDescent="0.2">
      <c r="A31" s="228">
        <v>22</v>
      </c>
      <c r="B31" s="273" t="s">
        <v>74</v>
      </c>
      <c r="C31" s="9" t="s">
        <v>57</v>
      </c>
      <c r="D31" s="9" t="s">
        <v>57</v>
      </c>
      <c r="E31" s="9" t="s">
        <v>57</v>
      </c>
      <c r="F31" s="9">
        <v>3</v>
      </c>
      <c r="G31" s="97">
        <v>0.5</v>
      </c>
      <c r="H31" s="9">
        <v>2.84</v>
      </c>
      <c r="I31" s="100">
        <v>17697</v>
      </c>
      <c r="J31" s="98">
        <f t="shared" si="29"/>
        <v>50259.479999999996</v>
      </c>
      <c r="K31" s="98"/>
      <c r="L31" s="11">
        <f>J31+K31</f>
        <v>50259.479999999996</v>
      </c>
      <c r="M31" s="98">
        <f t="shared" si="30"/>
        <v>25129.739999999998</v>
      </c>
      <c r="N31" s="98"/>
      <c r="O31" s="87"/>
      <c r="P31" s="9"/>
      <c r="Q31" s="98"/>
      <c r="R31" s="87"/>
      <c r="S31" s="9"/>
      <c r="T31" s="98"/>
      <c r="U31" s="11"/>
      <c r="V31" s="11"/>
      <c r="W31" s="11"/>
      <c r="X31" s="11"/>
      <c r="Y31" s="11"/>
      <c r="Z31" s="11"/>
      <c r="AA31" s="87"/>
      <c r="AB31" s="11"/>
      <c r="AC31" s="98"/>
      <c r="AD31" s="98">
        <f t="shared" si="27"/>
        <v>0</v>
      </c>
      <c r="AE31" s="98">
        <f t="shared" si="28"/>
        <v>25129.739999999998</v>
      </c>
    </row>
    <row r="32" spans="1:31" s="246" customFormat="1" ht="18" customHeight="1" x14ac:dyDescent="0.2">
      <c r="A32" s="228"/>
      <c r="B32" s="272"/>
      <c r="C32" s="16"/>
      <c r="D32" s="9"/>
      <c r="E32" s="16"/>
      <c r="F32" s="16"/>
      <c r="G32" s="14">
        <f>SUM(G28:G31)</f>
        <v>2</v>
      </c>
      <c r="H32" s="16"/>
      <c r="I32" s="233"/>
      <c r="J32" s="13">
        <f>SUM(J28:J31)</f>
        <v>201037.91999999998</v>
      </c>
      <c r="K32" s="240"/>
      <c r="L32" s="13">
        <f>SUM(L28:L31)</f>
        <v>201037.91999999998</v>
      </c>
      <c r="M32" s="13">
        <f>SUM(M28:M31)</f>
        <v>100518.95999999999</v>
      </c>
      <c r="N32" s="240">
        <f>SUM(N28:N29)</f>
        <v>0</v>
      </c>
      <c r="O32" s="245"/>
      <c r="P32" s="16"/>
      <c r="Q32" s="240"/>
      <c r="R32" s="245"/>
      <c r="S32" s="16"/>
      <c r="T32" s="240"/>
      <c r="U32" s="58"/>
      <c r="V32" s="58"/>
      <c r="W32" s="58"/>
      <c r="X32" s="58"/>
      <c r="Y32" s="58"/>
      <c r="Z32" s="58"/>
      <c r="AA32" s="245"/>
      <c r="AB32" s="58"/>
      <c r="AC32" s="240"/>
      <c r="AD32" s="13">
        <f>SUM(AD28:AD31)</f>
        <v>0</v>
      </c>
      <c r="AE32" s="13">
        <f>SUM(AE28:AE31)</f>
        <v>100518.95999999999</v>
      </c>
    </row>
    <row r="33" spans="1:31" s="7" customFormat="1" ht="25.5" x14ac:dyDescent="0.2">
      <c r="A33" s="228">
        <v>23</v>
      </c>
      <c r="B33" s="273" t="s">
        <v>59</v>
      </c>
      <c r="C33" s="9" t="s">
        <v>57</v>
      </c>
      <c r="D33" s="9" t="s">
        <v>57</v>
      </c>
      <c r="E33" s="9" t="s">
        <v>57</v>
      </c>
      <c r="F33" s="9">
        <v>2</v>
      </c>
      <c r="G33" s="97">
        <v>1.5</v>
      </c>
      <c r="H33" s="9">
        <v>2.81</v>
      </c>
      <c r="I33" s="100">
        <v>17697</v>
      </c>
      <c r="J33" s="98">
        <f t="shared" si="0"/>
        <v>49728.57</v>
      </c>
      <c r="K33" s="98"/>
      <c r="L33" s="11">
        <f>J33+K33</f>
        <v>49728.57</v>
      </c>
      <c r="M33" s="98">
        <f t="shared" ref="M33:M37" si="31">L33*G33</f>
        <v>74592.854999999996</v>
      </c>
      <c r="N33" s="98">
        <f t="shared" ref="N33:N37" si="32">H33*I33*10%</f>
        <v>4972.857</v>
      </c>
      <c r="O33" s="87"/>
      <c r="P33" s="9"/>
      <c r="Q33" s="98"/>
      <c r="R33" s="87"/>
      <c r="S33" s="9"/>
      <c r="T33" s="98"/>
      <c r="U33" s="11"/>
      <c r="V33" s="11"/>
      <c r="W33" s="11"/>
      <c r="X33" s="87"/>
      <c r="Y33" s="11"/>
      <c r="Z33" s="11"/>
      <c r="AA33" s="97">
        <f>G33</f>
        <v>1.5</v>
      </c>
      <c r="AB33" s="274">
        <v>30</v>
      </c>
      <c r="AC33" s="98">
        <f>17697*AA33*AB33/100</f>
        <v>7963.65</v>
      </c>
      <c r="AD33" s="98">
        <f t="shared" ref="AD33:AD37" si="33">N33+T33+AC33+W33+Z33</f>
        <v>12936.507</v>
      </c>
      <c r="AE33" s="98">
        <f t="shared" ref="AE33:AE37" si="34">M33+AD33</f>
        <v>87529.361999999994</v>
      </c>
    </row>
    <row r="34" spans="1:31" s="7" customFormat="1" ht="25.5" x14ac:dyDescent="0.2">
      <c r="A34" s="228">
        <v>24</v>
      </c>
      <c r="B34" s="273" t="s">
        <v>59</v>
      </c>
      <c r="C34" s="9" t="s">
        <v>57</v>
      </c>
      <c r="D34" s="9" t="s">
        <v>57</v>
      </c>
      <c r="E34" s="9" t="s">
        <v>57</v>
      </c>
      <c r="F34" s="9">
        <v>2</v>
      </c>
      <c r="G34" s="97">
        <v>1</v>
      </c>
      <c r="H34" s="9">
        <v>2.81</v>
      </c>
      <c r="I34" s="100">
        <v>17697</v>
      </c>
      <c r="J34" s="98">
        <f t="shared" si="0"/>
        <v>49728.57</v>
      </c>
      <c r="K34" s="98"/>
      <c r="L34" s="11">
        <f>J34+K34</f>
        <v>49728.57</v>
      </c>
      <c r="M34" s="98">
        <f t="shared" si="31"/>
        <v>49728.57</v>
      </c>
      <c r="N34" s="98">
        <f t="shared" si="32"/>
        <v>4972.857</v>
      </c>
      <c r="O34" s="87"/>
      <c r="P34" s="9"/>
      <c r="Q34" s="98"/>
      <c r="R34" s="87"/>
      <c r="S34" s="9"/>
      <c r="T34" s="98"/>
      <c r="U34" s="11"/>
      <c r="V34" s="11"/>
      <c r="W34" s="11"/>
      <c r="X34" s="87"/>
      <c r="Y34" s="11"/>
      <c r="Z34" s="11"/>
      <c r="AA34" s="97">
        <f>G34</f>
        <v>1</v>
      </c>
      <c r="AB34" s="274">
        <v>30</v>
      </c>
      <c r="AC34" s="98">
        <f>17697*AA34*AB34/100</f>
        <v>5309.1</v>
      </c>
      <c r="AD34" s="98">
        <f t="shared" si="33"/>
        <v>10281.957</v>
      </c>
      <c r="AE34" s="98">
        <f t="shared" si="34"/>
        <v>60010.527000000002</v>
      </c>
    </row>
    <row r="35" spans="1:31" s="7" customFormat="1" ht="25.5" x14ac:dyDescent="0.2">
      <c r="A35" s="228">
        <v>25</v>
      </c>
      <c r="B35" s="273" t="s">
        <v>59</v>
      </c>
      <c r="C35" s="9" t="s">
        <v>57</v>
      </c>
      <c r="D35" s="9" t="s">
        <v>57</v>
      </c>
      <c r="E35" s="9" t="s">
        <v>57</v>
      </c>
      <c r="F35" s="9">
        <v>2</v>
      </c>
      <c r="G35" s="97">
        <v>1</v>
      </c>
      <c r="H35" s="9">
        <v>2.81</v>
      </c>
      <c r="I35" s="100">
        <v>17697</v>
      </c>
      <c r="J35" s="98">
        <f t="shared" si="0"/>
        <v>49728.57</v>
      </c>
      <c r="K35" s="98"/>
      <c r="L35" s="11">
        <f>J35+K35</f>
        <v>49728.57</v>
      </c>
      <c r="M35" s="98">
        <f t="shared" si="31"/>
        <v>49728.57</v>
      </c>
      <c r="N35" s="98">
        <f t="shared" si="32"/>
        <v>4972.857</v>
      </c>
      <c r="O35" s="87"/>
      <c r="P35" s="9"/>
      <c r="Q35" s="98"/>
      <c r="R35" s="87"/>
      <c r="S35" s="9"/>
      <c r="T35" s="98"/>
      <c r="U35" s="11"/>
      <c r="V35" s="11"/>
      <c r="W35" s="11"/>
      <c r="X35" s="87"/>
      <c r="Y35" s="11"/>
      <c r="Z35" s="11"/>
      <c r="AA35" s="97">
        <f>G35</f>
        <v>1</v>
      </c>
      <c r="AB35" s="11">
        <v>30</v>
      </c>
      <c r="AC35" s="98">
        <f>17697*AA35*AB35/100</f>
        <v>5309.1</v>
      </c>
      <c r="AD35" s="98">
        <f t="shared" si="33"/>
        <v>10281.957</v>
      </c>
      <c r="AE35" s="98">
        <f t="shared" si="34"/>
        <v>60010.527000000002</v>
      </c>
    </row>
    <row r="36" spans="1:31" s="7" customFormat="1" ht="25.5" x14ac:dyDescent="0.2">
      <c r="A36" s="228">
        <v>26</v>
      </c>
      <c r="B36" s="273" t="s">
        <v>59</v>
      </c>
      <c r="C36" s="9" t="s">
        <v>57</v>
      </c>
      <c r="D36" s="9" t="s">
        <v>57</v>
      </c>
      <c r="E36" s="9" t="s">
        <v>57</v>
      </c>
      <c r="F36" s="9">
        <v>2</v>
      </c>
      <c r="G36" s="97">
        <v>1.5</v>
      </c>
      <c r="H36" s="9">
        <v>2.81</v>
      </c>
      <c r="I36" s="100">
        <v>17697</v>
      </c>
      <c r="J36" s="98">
        <f t="shared" si="0"/>
        <v>49728.57</v>
      </c>
      <c r="K36" s="98"/>
      <c r="L36" s="11">
        <f>J36+K36</f>
        <v>49728.57</v>
      </c>
      <c r="M36" s="98">
        <f t="shared" si="31"/>
        <v>74592.854999999996</v>
      </c>
      <c r="N36" s="98">
        <f t="shared" si="32"/>
        <v>4972.857</v>
      </c>
      <c r="O36" s="87"/>
      <c r="P36" s="9"/>
      <c r="Q36" s="98"/>
      <c r="R36" s="87"/>
      <c r="S36" s="9"/>
      <c r="T36" s="98"/>
      <c r="U36" s="11"/>
      <c r="V36" s="11"/>
      <c r="W36" s="11"/>
      <c r="X36" s="87"/>
      <c r="Y36" s="11"/>
      <c r="Z36" s="11"/>
      <c r="AA36" s="97">
        <f>G36</f>
        <v>1.5</v>
      </c>
      <c r="AB36" s="274">
        <v>30</v>
      </c>
      <c r="AC36" s="98">
        <f>17697*AA36*AB36/100</f>
        <v>7963.65</v>
      </c>
      <c r="AD36" s="98">
        <f t="shared" si="33"/>
        <v>12936.507</v>
      </c>
      <c r="AE36" s="98">
        <f t="shared" si="34"/>
        <v>87529.361999999994</v>
      </c>
    </row>
    <row r="37" spans="1:31" s="7" customFormat="1" ht="25.5" x14ac:dyDescent="0.2">
      <c r="A37" s="228">
        <v>27</v>
      </c>
      <c r="B37" s="273" t="s">
        <v>59</v>
      </c>
      <c r="C37" s="9" t="s">
        <v>57</v>
      </c>
      <c r="D37" s="9" t="s">
        <v>57</v>
      </c>
      <c r="E37" s="9" t="s">
        <v>57</v>
      </c>
      <c r="F37" s="9">
        <v>2</v>
      </c>
      <c r="G37" s="97">
        <v>1.5</v>
      </c>
      <c r="H37" s="9">
        <v>2.81</v>
      </c>
      <c r="I37" s="100">
        <v>17697</v>
      </c>
      <c r="J37" s="98">
        <f t="shared" si="0"/>
        <v>49728.57</v>
      </c>
      <c r="K37" s="98"/>
      <c r="L37" s="11">
        <f>J37+K37</f>
        <v>49728.57</v>
      </c>
      <c r="M37" s="98">
        <f t="shared" si="31"/>
        <v>74592.854999999996</v>
      </c>
      <c r="N37" s="98">
        <f t="shared" si="32"/>
        <v>4972.857</v>
      </c>
      <c r="O37" s="87"/>
      <c r="P37" s="9"/>
      <c r="Q37" s="98"/>
      <c r="R37" s="87"/>
      <c r="S37" s="9"/>
      <c r="T37" s="98"/>
      <c r="U37" s="11"/>
      <c r="V37" s="11"/>
      <c r="W37" s="11"/>
      <c r="X37" s="87"/>
      <c r="Y37" s="11"/>
      <c r="Z37" s="11"/>
      <c r="AA37" s="97">
        <f>G37</f>
        <v>1.5</v>
      </c>
      <c r="AB37" s="274">
        <v>30</v>
      </c>
      <c r="AC37" s="98">
        <f>17697*AA37*AB37/100</f>
        <v>7963.65</v>
      </c>
      <c r="AD37" s="98">
        <f t="shared" si="33"/>
        <v>12936.507</v>
      </c>
      <c r="AE37" s="98">
        <f t="shared" si="34"/>
        <v>87529.361999999994</v>
      </c>
    </row>
    <row r="38" spans="1:31" s="246" customFormat="1" ht="18" customHeight="1" x14ac:dyDescent="0.2">
      <c r="A38" s="228"/>
      <c r="B38" s="272"/>
      <c r="C38" s="16"/>
      <c r="D38" s="16"/>
      <c r="E38" s="16"/>
      <c r="F38" s="16"/>
      <c r="G38" s="14">
        <f>SUM(G33:G37)</f>
        <v>6.5</v>
      </c>
      <c r="H38" s="14"/>
      <c r="I38" s="14"/>
      <c r="J38" s="13">
        <f t="shared" ref="J38:AA38" si="35">SUM(J33:J37)</f>
        <v>248642.85</v>
      </c>
      <c r="K38" s="14">
        <f t="shared" si="35"/>
        <v>0</v>
      </c>
      <c r="L38" s="13">
        <f>SUM(L33:L37)</f>
        <v>248642.85</v>
      </c>
      <c r="M38" s="13">
        <f>SUM(M33:M37)</f>
        <v>323235.70499999996</v>
      </c>
      <c r="N38" s="13">
        <f>SUM(N33:N37)</f>
        <v>24864.285</v>
      </c>
      <c r="O38" s="13">
        <f t="shared" si="35"/>
        <v>0</v>
      </c>
      <c r="P38" s="13">
        <f t="shared" si="35"/>
        <v>0</v>
      </c>
      <c r="Q38" s="13">
        <f t="shared" si="35"/>
        <v>0</v>
      </c>
      <c r="R38" s="13">
        <f t="shared" si="35"/>
        <v>0</v>
      </c>
      <c r="S38" s="13">
        <f t="shared" si="35"/>
        <v>0</v>
      </c>
      <c r="T38" s="13">
        <f t="shared" si="35"/>
        <v>0</v>
      </c>
      <c r="U38" s="13">
        <f t="shared" si="35"/>
        <v>0</v>
      </c>
      <c r="V38" s="13">
        <f t="shared" si="35"/>
        <v>0</v>
      </c>
      <c r="W38" s="13">
        <f t="shared" si="35"/>
        <v>0</v>
      </c>
      <c r="X38" s="13">
        <f t="shared" si="35"/>
        <v>0</v>
      </c>
      <c r="Y38" s="13">
        <f t="shared" si="35"/>
        <v>0</v>
      </c>
      <c r="Z38" s="13">
        <f t="shared" si="35"/>
        <v>0</v>
      </c>
      <c r="AA38" s="179">
        <f t="shared" si="35"/>
        <v>6.5</v>
      </c>
      <c r="AB38" s="179"/>
      <c r="AC38" s="13">
        <f>SUM(AC33:AC37)</f>
        <v>34509.15</v>
      </c>
      <c r="AD38" s="13">
        <f>SUM(AD33:AD37)</f>
        <v>59373.434999999998</v>
      </c>
      <c r="AE38" s="13">
        <f>SUM(AE33:AE37)</f>
        <v>382609.14</v>
      </c>
    </row>
    <row r="39" spans="1:31" s="246" customFormat="1" ht="25.5" x14ac:dyDescent="0.2">
      <c r="A39" s="228">
        <v>28</v>
      </c>
      <c r="B39" s="273" t="s">
        <v>61</v>
      </c>
      <c r="C39" s="9" t="s">
        <v>57</v>
      </c>
      <c r="D39" s="9" t="s">
        <v>57</v>
      </c>
      <c r="E39" s="9" t="s">
        <v>57</v>
      </c>
      <c r="F39" s="9">
        <v>2</v>
      </c>
      <c r="G39" s="97">
        <v>1</v>
      </c>
      <c r="H39" s="9">
        <v>2.81</v>
      </c>
      <c r="I39" s="100">
        <v>17697</v>
      </c>
      <c r="J39" s="98">
        <f t="shared" si="0"/>
        <v>49728.57</v>
      </c>
      <c r="K39" s="98"/>
      <c r="L39" s="11">
        <f>J39+K39</f>
        <v>49728.57</v>
      </c>
      <c r="M39" s="98">
        <f>L39*G39</f>
        <v>49728.57</v>
      </c>
      <c r="N39" s="98">
        <f>H39*I39*10%</f>
        <v>4972.857</v>
      </c>
      <c r="O39" s="87"/>
      <c r="P39" s="9"/>
      <c r="Q39" s="98"/>
      <c r="R39" s="87"/>
      <c r="S39" s="9"/>
      <c r="T39" s="98"/>
      <c r="U39" s="11"/>
      <c r="V39" s="11"/>
      <c r="W39" s="11"/>
      <c r="X39" s="11"/>
      <c r="Y39" s="11"/>
      <c r="Z39" s="11"/>
      <c r="AA39" s="87">
        <f>G39</f>
        <v>1</v>
      </c>
      <c r="AB39" s="11">
        <v>30</v>
      </c>
      <c r="AC39" s="98">
        <f>17697*AA39*AB39/100</f>
        <v>5309.1</v>
      </c>
      <c r="AD39" s="98">
        <f t="shared" ref="AD39:AD41" si="36">N39+T39+AC39+W39+Z39</f>
        <v>10281.957</v>
      </c>
      <c r="AE39" s="98">
        <f t="shared" ref="AE39:AE41" si="37">M39+AD39</f>
        <v>60010.527000000002</v>
      </c>
    </row>
    <row r="40" spans="1:31" s="244" customFormat="1" ht="25.5" x14ac:dyDescent="0.2">
      <c r="A40" s="228">
        <v>29</v>
      </c>
      <c r="B40" s="273" t="s">
        <v>61</v>
      </c>
      <c r="C40" s="9" t="s">
        <v>57</v>
      </c>
      <c r="D40" s="9" t="s">
        <v>57</v>
      </c>
      <c r="E40" s="9" t="s">
        <v>57</v>
      </c>
      <c r="F40" s="9">
        <v>2</v>
      </c>
      <c r="G40" s="97">
        <v>0.5</v>
      </c>
      <c r="H40" s="9">
        <v>2.81</v>
      </c>
      <c r="I40" s="100">
        <v>17697</v>
      </c>
      <c r="J40" s="98">
        <f t="shared" ref="J40" si="38">I40*H40*1</f>
        <v>49728.57</v>
      </c>
      <c r="K40" s="98"/>
      <c r="L40" s="11">
        <f t="shared" ref="L40" si="39">J40+K40</f>
        <v>49728.57</v>
      </c>
      <c r="M40" s="98">
        <f t="shared" ref="M40" si="40">L40*G40</f>
        <v>24864.285</v>
      </c>
      <c r="N40" s="98"/>
      <c r="O40" s="87"/>
      <c r="P40" s="9"/>
      <c r="Q40" s="98"/>
      <c r="R40" s="87"/>
      <c r="S40" s="9"/>
      <c r="T40" s="98"/>
      <c r="U40" s="11"/>
      <c r="V40" s="11"/>
      <c r="W40" s="11"/>
      <c r="X40" s="11"/>
      <c r="Y40" s="11"/>
      <c r="Z40" s="11"/>
      <c r="AA40" s="87">
        <f>G40</f>
        <v>0.5</v>
      </c>
      <c r="AB40" s="11">
        <v>30</v>
      </c>
      <c r="AC40" s="98">
        <f>17697*AA40*AB40/100</f>
        <v>2654.55</v>
      </c>
      <c r="AD40" s="98">
        <f t="shared" si="36"/>
        <v>2654.55</v>
      </c>
      <c r="AE40" s="98">
        <f t="shared" si="37"/>
        <v>27518.834999999999</v>
      </c>
    </row>
    <row r="41" spans="1:31" s="244" customFormat="1" ht="25.5" x14ac:dyDescent="0.2">
      <c r="A41" s="228">
        <v>30</v>
      </c>
      <c r="B41" s="273" t="s">
        <v>61</v>
      </c>
      <c r="C41" s="9" t="s">
        <v>57</v>
      </c>
      <c r="D41" s="9" t="s">
        <v>57</v>
      </c>
      <c r="E41" s="9" t="s">
        <v>57</v>
      </c>
      <c r="F41" s="9">
        <v>2</v>
      </c>
      <c r="G41" s="97">
        <v>0.5</v>
      </c>
      <c r="H41" s="9">
        <v>2.81</v>
      </c>
      <c r="I41" s="100">
        <v>17697</v>
      </c>
      <c r="J41" s="98">
        <f t="shared" si="0"/>
        <v>49728.57</v>
      </c>
      <c r="K41" s="98"/>
      <c r="L41" s="11">
        <f t="shared" ref="L41:L45" si="41">J41+K41</f>
        <v>49728.57</v>
      </c>
      <c r="M41" s="98">
        <f>L41*G41</f>
        <v>24864.285</v>
      </c>
      <c r="N41" s="98"/>
      <c r="O41" s="87"/>
      <c r="P41" s="9"/>
      <c r="Q41" s="98"/>
      <c r="R41" s="87"/>
      <c r="S41" s="9"/>
      <c r="T41" s="98"/>
      <c r="U41" s="11"/>
      <c r="V41" s="11"/>
      <c r="W41" s="11"/>
      <c r="X41" s="11"/>
      <c r="Y41" s="11"/>
      <c r="Z41" s="11"/>
      <c r="AA41" s="87">
        <f>G41</f>
        <v>0.5</v>
      </c>
      <c r="AB41" s="11">
        <v>30</v>
      </c>
      <c r="AC41" s="98">
        <f>17697*AA41*AB41/100</f>
        <v>2654.55</v>
      </c>
      <c r="AD41" s="98">
        <f t="shared" si="36"/>
        <v>2654.55</v>
      </c>
      <c r="AE41" s="98">
        <f t="shared" si="37"/>
        <v>27518.834999999999</v>
      </c>
    </row>
    <row r="42" spans="1:31" s="244" customFormat="1" ht="18" customHeight="1" x14ac:dyDescent="0.2">
      <c r="A42" s="228"/>
      <c r="B42" s="272"/>
      <c r="C42" s="16"/>
      <c r="D42" s="16"/>
      <c r="E42" s="16"/>
      <c r="F42" s="16"/>
      <c r="G42" s="14">
        <f>SUM(G39:G41)</f>
        <v>2</v>
      </c>
      <c r="H42" s="9"/>
      <c r="I42" s="14"/>
      <c r="J42" s="13">
        <f>SUM(J39:J41)</f>
        <v>149185.71</v>
      </c>
      <c r="K42" s="13">
        <f>SUM(K39:K41)</f>
        <v>0</v>
      </c>
      <c r="L42" s="13">
        <f>SUM(L39:L41)</f>
        <v>149185.71</v>
      </c>
      <c r="M42" s="13">
        <f>SUM(M39:M41)</f>
        <v>99457.14</v>
      </c>
      <c r="N42" s="13">
        <f>SUM(N39:N41)</f>
        <v>4972.857</v>
      </c>
      <c r="O42" s="14"/>
      <c r="P42" s="14"/>
      <c r="Q42" s="14"/>
      <c r="R42" s="14"/>
      <c r="S42" s="14"/>
      <c r="T42" s="13"/>
      <c r="U42" s="13"/>
      <c r="V42" s="13"/>
      <c r="W42" s="13"/>
      <c r="X42" s="13"/>
      <c r="Y42" s="13"/>
      <c r="Z42" s="13"/>
      <c r="AA42" s="13">
        <f>SUM(AA39:AA41)</f>
        <v>2</v>
      </c>
      <c r="AB42" s="13"/>
      <c r="AC42" s="13">
        <f>SUM(AC39:AC41)</f>
        <v>10618.2</v>
      </c>
      <c r="AD42" s="13">
        <f>SUM(AD39:AD41)</f>
        <v>15591.057000000001</v>
      </c>
      <c r="AE42" s="13">
        <f>SUM(AE39:AE41)</f>
        <v>115048.19699999999</v>
      </c>
    </row>
    <row r="43" spans="1:31" s="244" customFormat="1" x14ac:dyDescent="0.2">
      <c r="A43" s="228"/>
      <c r="B43" s="273" t="s">
        <v>60</v>
      </c>
      <c r="C43" s="9" t="s">
        <v>57</v>
      </c>
      <c r="D43" s="9" t="s">
        <v>57</v>
      </c>
      <c r="E43" s="9" t="s">
        <v>57</v>
      </c>
      <c r="F43" s="9">
        <v>2</v>
      </c>
      <c r="G43" s="97">
        <v>1</v>
      </c>
      <c r="H43" s="9">
        <v>2.81</v>
      </c>
      <c r="I43" s="100">
        <v>17697</v>
      </c>
      <c r="J43" s="98">
        <f t="shared" si="0"/>
        <v>49728.57</v>
      </c>
      <c r="K43" s="98"/>
      <c r="L43" s="11">
        <f>J43+K43</f>
        <v>49728.57</v>
      </c>
      <c r="M43" s="98">
        <f t="shared" ref="M43:M45" si="42">L43*G43</f>
        <v>49728.57</v>
      </c>
      <c r="N43" s="98">
        <f t="shared" ref="N43:N45" si="43">H43*I43*10%</f>
        <v>4972.857</v>
      </c>
      <c r="O43" s="87"/>
      <c r="P43" s="9"/>
      <c r="Q43" s="98"/>
      <c r="R43" s="87"/>
      <c r="S43" s="9"/>
      <c r="T43" s="98"/>
      <c r="U43" s="87">
        <v>1</v>
      </c>
      <c r="V43" s="11">
        <v>50</v>
      </c>
      <c r="W43" s="98">
        <f>M43*50%*8*10/165.3</f>
        <v>12033.531760435571</v>
      </c>
      <c r="X43" s="11">
        <v>1</v>
      </c>
      <c r="Y43" s="11">
        <v>50</v>
      </c>
      <c r="Z43" s="98">
        <f>H43*I43/165.5*50%*24</f>
        <v>3605.6969184290028</v>
      </c>
      <c r="AA43" s="11"/>
      <c r="AB43" s="11"/>
      <c r="AC43" s="98"/>
      <c r="AD43" s="98">
        <f t="shared" ref="AD43:AD44" si="44">N43+T43+AC43+W43+Z43</f>
        <v>20612.085678864572</v>
      </c>
      <c r="AE43" s="98">
        <f t="shared" ref="AE43:AE44" si="45">M43+AD43</f>
        <v>70340.655678864568</v>
      </c>
    </row>
    <row r="44" spans="1:31" s="244" customFormat="1" x14ac:dyDescent="0.2">
      <c r="A44" s="228"/>
      <c r="B44" s="273" t="s">
        <v>60</v>
      </c>
      <c r="C44" s="9" t="s">
        <v>57</v>
      </c>
      <c r="D44" s="9" t="s">
        <v>57</v>
      </c>
      <c r="E44" s="9" t="s">
        <v>57</v>
      </c>
      <c r="F44" s="9">
        <v>2</v>
      </c>
      <c r="G44" s="97">
        <v>1</v>
      </c>
      <c r="H44" s="9">
        <v>2.81</v>
      </c>
      <c r="I44" s="100">
        <v>17697</v>
      </c>
      <c r="J44" s="98">
        <f t="shared" si="0"/>
        <v>49728.57</v>
      </c>
      <c r="K44" s="98"/>
      <c r="L44" s="11">
        <f t="shared" si="41"/>
        <v>49728.57</v>
      </c>
      <c r="M44" s="98">
        <f t="shared" si="42"/>
        <v>49728.57</v>
      </c>
      <c r="N44" s="98">
        <f t="shared" si="43"/>
        <v>4972.857</v>
      </c>
      <c r="O44" s="87"/>
      <c r="P44" s="9"/>
      <c r="Q44" s="98"/>
      <c r="R44" s="87"/>
      <c r="S44" s="9"/>
      <c r="T44" s="98"/>
      <c r="U44" s="87">
        <v>1</v>
      </c>
      <c r="V44" s="11">
        <v>50</v>
      </c>
      <c r="W44" s="98">
        <f>M44*50%*8*10/165.3</f>
        <v>12033.531760435571</v>
      </c>
      <c r="X44" s="11">
        <v>1</v>
      </c>
      <c r="Y44" s="11">
        <v>50</v>
      </c>
      <c r="Z44" s="98">
        <f>H44*I44/165.5*50%*24</f>
        <v>3605.6969184290028</v>
      </c>
      <c r="AA44" s="11"/>
      <c r="AB44" s="11"/>
      <c r="AC44" s="98"/>
      <c r="AD44" s="98">
        <f t="shared" si="44"/>
        <v>20612.085678864572</v>
      </c>
      <c r="AE44" s="98">
        <f t="shared" si="45"/>
        <v>70340.655678864568</v>
      </c>
    </row>
    <row r="45" spans="1:31" s="244" customFormat="1" ht="24.75" customHeight="1" x14ac:dyDescent="0.2">
      <c r="A45" s="228">
        <v>33</v>
      </c>
      <c r="B45" s="273" t="s">
        <v>60</v>
      </c>
      <c r="C45" s="9" t="s">
        <v>57</v>
      </c>
      <c r="D45" s="9" t="s">
        <v>57</v>
      </c>
      <c r="E45" s="9" t="s">
        <v>57</v>
      </c>
      <c r="F45" s="9">
        <v>2</v>
      </c>
      <c r="G45" s="97">
        <v>1</v>
      </c>
      <c r="H45" s="9">
        <v>2.81</v>
      </c>
      <c r="I45" s="100">
        <v>17697</v>
      </c>
      <c r="J45" s="98">
        <f t="shared" si="0"/>
        <v>49728.57</v>
      </c>
      <c r="K45" s="98"/>
      <c r="L45" s="11">
        <f t="shared" si="41"/>
        <v>49728.57</v>
      </c>
      <c r="M45" s="98">
        <f t="shared" si="42"/>
        <v>49728.57</v>
      </c>
      <c r="N45" s="98">
        <f t="shared" si="43"/>
        <v>4972.857</v>
      </c>
      <c r="O45" s="87"/>
      <c r="P45" s="9"/>
      <c r="Q45" s="98"/>
      <c r="R45" s="87"/>
      <c r="S45" s="9"/>
      <c r="T45" s="98"/>
      <c r="U45" s="87">
        <v>1</v>
      </c>
      <c r="V45" s="11">
        <v>50</v>
      </c>
      <c r="W45" s="98">
        <f>M45*50%*8*10/165.3</f>
        <v>12033.531760435571</v>
      </c>
      <c r="X45" s="11">
        <v>1</v>
      </c>
      <c r="Y45" s="11">
        <v>50</v>
      </c>
      <c r="Z45" s="98">
        <f>H45*I45/165.5*50%*24</f>
        <v>3605.6969184290028</v>
      </c>
      <c r="AA45" s="11"/>
      <c r="AB45" s="11"/>
      <c r="AC45" s="98"/>
      <c r="AD45" s="98">
        <f>N45+T45+AC45+W45+Z45</f>
        <v>20612.085678864572</v>
      </c>
      <c r="AE45" s="98">
        <f>M45+AD45</f>
        <v>70340.655678864568</v>
      </c>
    </row>
    <row r="46" spans="1:31" s="244" customFormat="1" ht="18" customHeight="1" x14ac:dyDescent="0.2">
      <c r="A46" s="248"/>
      <c r="B46" s="272"/>
      <c r="C46" s="16"/>
      <c r="D46" s="16"/>
      <c r="E46" s="16"/>
      <c r="F46" s="16"/>
      <c r="G46" s="14">
        <f>SUM(G43:G45)</f>
        <v>3</v>
      </c>
      <c r="H46" s="14"/>
      <c r="I46" s="14"/>
      <c r="J46" s="13">
        <f>SUM(J43:J45)</f>
        <v>149185.71</v>
      </c>
      <c r="K46" s="240"/>
      <c r="L46" s="13">
        <f>SUM(L43:L45)</f>
        <v>149185.71</v>
      </c>
      <c r="M46" s="13">
        <f>SUM(M43:M45)</f>
        <v>149185.71</v>
      </c>
      <c r="N46" s="13">
        <f>SUM(N43:N45)</f>
        <v>14918.571</v>
      </c>
      <c r="O46" s="245"/>
      <c r="P46" s="16"/>
      <c r="Q46" s="240"/>
      <c r="R46" s="245"/>
      <c r="S46" s="16"/>
      <c r="T46" s="240"/>
      <c r="U46" s="13">
        <f>SUM(U43:U45)</f>
        <v>3</v>
      </c>
      <c r="V46" s="58"/>
      <c r="W46" s="13">
        <f>SUM(W43:W45)</f>
        <v>36100.595281306712</v>
      </c>
      <c r="X46" s="13">
        <f>SUM(X43:X45)</f>
        <v>3</v>
      </c>
      <c r="Y46" s="58"/>
      <c r="Z46" s="13">
        <f>SUM(Z43:Z45)</f>
        <v>10817.090755287009</v>
      </c>
      <c r="AA46" s="58"/>
      <c r="AB46" s="58"/>
      <c r="AC46" s="240"/>
      <c r="AD46" s="13">
        <f>SUM(AD43:AD45)</f>
        <v>61836.257036593714</v>
      </c>
      <c r="AE46" s="13">
        <f>SUM(AE43:AE45)</f>
        <v>211021.96703659371</v>
      </c>
    </row>
    <row r="47" spans="1:31" s="244" customFormat="1" ht="16.5" customHeight="1" x14ac:dyDescent="0.2">
      <c r="A47" s="248"/>
      <c r="B47" s="16" t="s">
        <v>25</v>
      </c>
      <c r="C47" s="16" t="s">
        <v>25</v>
      </c>
      <c r="D47" s="16" t="s">
        <v>25</v>
      </c>
      <c r="E47" s="16" t="s">
        <v>25</v>
      </c>
      <c r="F47" s="16" t="s">
        <v>25</v>
      </c>
      <c r="G47" s="14">
        <f>G10+G21+G24+G27+G32+G38+G42+G46</f>
        <v>33</v>
      </c>
      <c r="H47" s="13"/>
      <c r="I47" s="13">
        <f t="shared" ref="I47:R47" si="46">I46+I42+I38+I32+I27+I21+I24+I10</f>
        <v>0</v>
      </c>
      <c r="J47" s="13">
        <f>J10+J21+J24+J27+J32+J38+J42+J46</f>
        <v>1790051.5500000003</v>
      </c>
      <c r="K47" s="13">
        <f t="shared" si="46"/>
        <v>0</v>
      </c>
      <c r="L47" s="13">
        <f>L10+L21+L24+L27+L32+L38+L42+L46</f>
        <v>1790051.5500000003</v>
      </c>
      <c r="M47" s="13">
        <f>M10+M21+M24+M27+M32+M38+M42+M46</f>
        <v>1792042.4624999997</v>
      </c>
      <c r="N47" s="13">
        <f>N10+N21+N24+N27+N32+N38+N42+N46</f>
        <v>132302.77200000003</v>
      </c>
      <c r="O47" s="13">
        <f t="shared" si="46"/>
        <v>0</v>
      </c>
      <c r="P47" s="13">
        <f t="shared" si="46"/>
        <v>0</v>
      </c>
      <c r="Q47" s="13">
        <f t="shared" si="46"/>
        <v>0</v>
      </c>
      <c r="R47" s="13">
        <f t="shared" si="46"/>
        <v>14</v>
      </c>
      <c r="S47" s="13"/>
      <c r="T47" s="13">
        <f>T10+T21+T24+T27+T32+T38+T42+T46</f>
        <v>99103.200000000012</v>
      </c>
      <c r="U47" s="13">
        <f>U46+U42+U38+U32+U27+U21+U24+U10</f>
        <v>11.5</v>
      </c>
      <c r="V47" s="13"/>
      <c r="W47" s="13">
        <f>W10+W21+W24+W27+W32+W38+W42+W46</f>
        <v>171611.49655018889</v>
      </c>
      <c r="X47" s="13">
        <f>X46+X42+X38+X32+X27+X21+X24+X10</f>
        <v>17</v>
      </c>
      <c r="Y47" s="13"/>
      <c r="Z47" s="13">
        <f>Z10+Z21+Z24+Z27+Z32+Z38+Z42+Z46</f>
        <v>45389.329758308158</v>
      </c>
      <c r="AA47" s="13">
        <f t="shared" ref="AA47:AB47" si="47">AA46+AA42+AA38+AA32+AA27+AA21+AA24+AA10</f>
        <v>14</v>
      </c>
      <c r="AB47" s="13">
        <f t="shared" si="47"/>
        <v>0</v>
      </c>
      <c r="AC47" s="13">
        <f>AC10+AC21+AC24+AC27+AC32+AC38+AC42+AC46</f>
        <v>74327.399999999994</v>
      </c>
      <c r="AD47" s="13">
        <f>AD10+AD21+AD24+AD27+AD32+AD38+AD42+AD46</f>
        <v>522734.19830849709</v>
      </c>
      <c r="AE47" s="13">
        <f>AE10+AE21+AE24+AE27+AE32+AE38+AE42+AE46</f>
        <v>2314776.6608084976</v>
      </c>
    </row>
    <row r="48" spans="1:31" x14ac:dyDescent="0.2">
      <c r="A48" s="244"/>
      <c r="B48" s="122"/>
      <c r="C48" s="122"/>
      <c r="D48" s="122"/>
      <c r="E48" s="122"/>
      <c r="F48" s="122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2"/>
      <c r="AE48" s="62"/>
    </row>
    <row r="49" spans="1:31" s="174" customFormat="1" ht="21" customHeight="1" x14ac:dyDescent="0.25">
      <c r="A49" s="173"/>
      <c r="B49" s="121"/>
      <c r="C49" s="264" t="s">
        <v>19</v>
      </c>
      <c r="D49" s="119"/>
      <c r="E49" s="119"/>
      <c r="F49" s="121"/>
      <c r="G49" s="121"/>
      <c r="H49" s="253"/>
      <c r="I49" s="253" t="s">
        <v>88</v>
      </c>
      <c r="J49" s="79"/>
      <c r="K49" s="43"/>
      <c r="L49" s="43"/>
      <c r="M49" s="43"/>
      <c r="N49" s="43"/>
      <c r="O49" s="121"/>
      <c r="P49" s="3"/>
      <c r="Q49" s="43"/>
      <c r="R49" s="121"/>
      <c r="S49" s="121"/>
      <c r="T49" s="43"/>
      <c r="U49" s="44"/>
      <c r="V49" s="43"/>
      <c r="W49" s="43"/>
      <c r="X49" s="121"/>
      <c r="Y49" s="121"/>
      <c r="Z49" s="43"/>
      <c r="AA49" s="121"/>
      <c r="AB49" s="121"/>
      <c r="AC49" s="43"/>
      <c r="AD49" s="43"/>
      <c r="AE49" s="43"/>
    </row>
    <row r="50" spans="1:31" s="78" customFormat="1" ht="21" customHeight="1" x14ac:dyDescent="0.2">
      <c r="A50" s="110"/>
      <c r="B50" s="3"/>
      <c r="C50" s="80"/>
      <c r="D50" s="343" t="s">
        <v>29</v>
      </c>
      <c r="E50" s="343"/>
      <c r="F50" s="3"/>
      <c r="G50" s="3"/>
      <c r="H50" s="343" t="s">
        <v>30</v>
      </c>
      <c r="I50" s="343"/>
      <c r="J50" s="34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31" ht="21" customHeight="1" x14ac:dyDescent="0.2">
      <c r="B51" s="121"/>
      <c r="C51" s="264" t="s">
        <v>20</v>
      </c>
      <c r="D51" s="119"/>
      <c r="E51" s="119"/>
      <c r="F51" s="121"/>
      <c r="G51" s="121"/>
      <c r="H51" s="298" t="s">
        <v>115</v>
      </c>
      <c r="I51" s="298"/>
      <c r="J51" s="298"/>
      <c r="K51" s="121"/>
      <c r="L51" s="121"/>
      <c r="M51" s="121"/>
      <c r="N51" s="121"/>
      <c r="O51" s="121"/>
      <c r="P51" s="121"/>
      <c r="Q51" s="121"/>
      <c r="R51" s="121"/>
      <c r="S51" s="3"/>
      <c r="T51" s="121"/>
      <c r="U51" s="121"/>
      <c r="V51" s="121"/>
      <c r="W51" s="121"/>
      <c r="X51" s="121"/>
      <c r="Y51" s="121"/>
      <c r="Z51" s="121"/>
      <c r="AA51" s="121"/>
    </row>
    <row r="52" spans="1:31" s="78" customFormat="1" ht="21" customHeight="1" x14ac:dyDescent="0.2">
      <c r="B52" s="3"/>
      <c r="C52" s="80"/>
      <c r="D52" s="343" t="s">
        <v>29</v>
      </c>
      <c r="E52" s="343"/>
      <c r="F52" s="3"/>
      <c r="G52" s="3"/>
      <c r="H52" s="343" t="s">
        <v>30</v>
      </c>
      <c r="I52" s="343"/>
      <c r="J52" s="34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31" ht="21" customHeight="1" x14ac:dyDescent="0.2">
      <c r="C53" s="264" t="s">
        <v>264</v>
      </c>
      <c r="D53" s="88"/>
      <c r="E53" s="119"/>
      <c r="F53" s="119"/>
      <c r="G53" s="3"/>
      <c r="H53" s="298" t="s">
        <v>92</v>
      </c>
      <c r="I53" s="298"/>
      <c r="J53" s="298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31" ht="21" customHeight="1" x14ac:dyDescent="0.2">
      <c r="B54" s="46"/>
      <c r="C54" s="46"/>
      <c r="D54" s="343" t="s">
        <v>29</v>
      </c>
      <c r="E54" s="343"/>
      <c r="F54" s="3"/>
      <c r="G54" s="3"/>
      <c r="H54" s="343" t="s">
        <v>30</v>
      </c>
      <c r="I54" s="343"/>
      <c r="J54" s="34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</sheetData>
  <sortState ref="A15:AN24">
    <sortCondition ref="A15"/>
  </sortState>
  <mergeCells count="31">
    <mergeCell ref="D54:E54"/>
    <mergeCell ref="H54:J54"/>
    <mergeCell ref="H53:J53"/>
    <mergeCell ref="AA3:AC3"/>
    <mergeCell ref="AD3:AD4"/>
    <mergeCell ref="D52:E52"/>
    <mergeCell ref="H52:J52"/>
    <mergeCell ref="H51:J51"/>
    <mergeCell ref="E3:E4"/>
    <mergeCell ref="F3:F4"/>
    <mergeCell ref="D50:E50"/>
    <mergeCell ref="H50:J50"/>
    <mergeCell ref="R3:T3"/>
    <mergeCell ref="U3:W3"/>
    <mergeCell ref="X3:Z3"/>
    <mergeCell ref="M3:M4"/>
    <mergeCell ref="N3:N4"/>
    <mergeCell ref="O3:Q3"/>
    <mergeCell ref="G3:G4"/>
    <mergeCell ref="H3:H4"/>
    <mergeCell ref="I3:I4"/>
    <mergeCell ref="J3:J4"/>
    <mergeCell ref="K3:K4"/>
    <mergeCell ref="L3:L4"/>
    <mergeCell ref="D3:D4"/>
    <mergeCell ref="A2:Y2"/>
    <mergeCell ref="A3:A4"/>
    <mergeCell ref="B3:B4"/>
    <mergeCell ref="C3:C4"/>
    <mergeCell ref="A1:AE1"/>
    <mergeCell ref="AE3:AE4"/>
  </mergeCells>
  <pageMargins left="0.23622047244094488" right="0.23622047244094488" top="0.31496062992125984" bottom="0.31496062992125984" header="0.31496062992125984" footer="0.31496062992125984"/>
  <pageSetup paperSize="9" scale="83" fitToHeight="0" orientation="portrait" r:id="rId1"/>
  <rowBreaks count="1" manualBreakCount="1">
    <brk id="39" max="30" man="1"/>
  </rowBreaks>
  <colBreaks count="1" manualBreakCount="1">
    <brk id="23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9</vt:i4>
      </vt:variant>
    </vt:vector>
  </HeadingPairs>
  <TitlesOfParts>
    <vt:vector size="14" baseType="lpstr">
      <vt:lpstr>прилож к респуб 2019</vt:lpstr>
      <vt:lpstr>учит 2019</vt:lpstr>
      <vt:lpstr>воспитатель 2019</vt:lpstr>
      <vt:lpstr>АХЧ</vt:lpstr>
      <vt:lpstr>прилож 2019</vt:lpstr>
      <vt:lpstr>АХЧ!Заголовки_для_печати</vt:lpstr>
      <vt:lpstr>'воспитатель 2019'!Заголовки_для_печати</vt:lpstr>
      <vt:lpstr>'прилож 2019'!Заголовки_для_печати</vt:lpstr>
      <vt:lpstr>'учит 2019'!Заголовки_для_печати</vt:lpstr>
      <vt:lpstr>АХЧ!Область_печати</vt:lpstr>
      <vt:lpstr>'воспитатель 2019'!Область_печати</vt:lpstr>
      <vt:lpstr>'прилож 2019'!Область_печати</vt:lpstr>
      <vt:lpstr>'прилож к респуб 2019'!Область_печати</vt:lpstr>
      <vt:lpstr>'учит 2019'!Область_печати</vt:lpstr>
    </vt:vector>
  </TitlesOfParts>
  <Company>321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</dc:creator>
  <cp:lastModifiedBy>Бахытгуль</cp:lastModifiedBy>
  <cp:lastPrinted>2019-10-17T08:35:31Z</cp:lastPrinted>
  <dcterms:created xsi:type="dcterms:W3CDTF">2006-08-16T04:06:36Z</dcterms:created>
  <dcterms:modified xsi:type="dcterms:W3CDTF">2019-10-17T10:50:17Z</dcterms:modified>
</cp:coreProperties>
</file>